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T:\Marketing\Literature - Secured\Submittal Forms\Standard Modular Blower Submittal Form\"/>
    </mc:Choice>
  </mc:AlternateContent>
  <xr:revisionPtr revIDLastSave="0" documentId="13_ncr:1_{C33C3242-8FDB-45CF-933D-AB549D2CBA6E}" xr6:coauthVersionLast="47" xr6:coauthVersionMax="47" xr10:uidLastSave="{00000000-0000-0000-0000-000000000000}"/>
  <workbookProtection workbookAlgorithmName="SHA-512" workbookHashValue="cKFOofFLTMNc+dPsZ6bQ+C4D/0EIeK5YJsuCGroWhSPRxkZs2ZMKS7xtAyReiTVUXrZxAmNHcurGSdDZhn41Yg==" workbookSaltValue="79vRfuuvcTmOW25Y40GuAQ==" workbookSpinCount="100000" lockStructure="1"/>
  <bookViews>
    <workbookView xWindow="-120" yWindow="-120" windowWidth="29040" windowHeight="15720" xr2:uid="{00000000-000D-0000-FFFF-FFFF00000000}"/>
  </bookViews>
  <sheets>
    <sheet name="Front" sheetId="3" r:id="rId1"/>
    <sheet name="Back" sheetId="18" r:id="rId2"/>
    <sheet name="Nomenclature" sheetId="6" state="hidden" r:id="rId3"/>
    <sheet name="Data" sheetId="15" state="hidden" r:id="rId4"/>
    <sheet name="Airflow" sheetId="7" state="hidden" r:id="rId5"/>
    <sheet name="Electrial data" sheetId="8" state="hidden" r:id="rId6"/>
  </sheets>
  <definedNames>
    <definedName name="_xlnm._FilterDatabase" localSheetId="4" hidden="1">Airflow!#REF!</definedName>
    <definedName name="_xlnm._FilterDatabase" localSheetId="3" hidden="1">Data!$B$2:$Y$58</definedName>
    <definedName name="_xlnm.Print_Area" localSheetId="1">Back!$A$1:$AG$94</definedName>
    <definedName name="_xlnm.Print_Area" localSheetId="0">Front!$A$1:$H$72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18" l="1"/>
  <c r="N68" i="18"/>
  <c r="O61" i="18"/>
  <c r="N61" i="18"/>
  <c r="O54" i="18"/>
  <c r="N54" i="18"/>
  <c r="O47" i="18"/>
  <c r="N47" i="18"/>
  <c r="M68" i="18"/>
  <c r="L68" i="18"/>
  <c r="M61" i="18"/>
  <c r="L61" i="18"/>
  <c r="M54" i="18"/>
  <c r="L54" i="18"/>
  <c r="M47" i="18"/>
  <c r="L47" i="18"/>
  <c r="K68" i="18" l="1"/>
  <c r="J68" i="18"/>
  <c r="I68" i="18"/>
  <c r="H68" i="18"/>
  <c r="G68" i="18"/>
  <c r="F68" i="18"/>
  <c r="E68" i="18"/>
  <c r="K61" i="18"/>
  <c r="J61" i="18"/>
  <c r="I61" i="18"/>
  <c r="H61" i="18"/>
  <c r="G61" i="18"/>
  <c r="F61" i="18"/>
  <c r="E61" i="18"/>
  <c r="K54" i="18"/>
  <c r="J54" i="18"/>
  <c r="I54" i="18"/>
  <c r="H54" i="18"/>
  <c r="G54" i="18"/>
  <c r="F54" i="18"/>
  <c r="E54" i="18"/>
  <c r="K47" i="18"/>
  <c r="J47" i="18"/>
  <c r="I47" i="18"/>
  <c r="H47" i="18"/>
  <c r="G47" i="18"/>
  <c r="F47" i="18"/>
  <c r="E47" i="18"/>
  <c r="G41" i="3"/>
  <c r="F41" i="3"/>
  <c r="E41" i="3"/>
  <c r="D41" i="3"/>
  <c r="G40" i="3"/>
  <c r="F40" i="3"/>
  <c r="E40" i="3"/>
  <c r="D40" i="3"/>
  <c r="G39" i="3"/>
  <c r="F39" i="3"/>
  <c r="E39" i="3"/>
  <c r="D39" i="3"/>
  <c r="G38" i="3"/>
  <c r="F38" i="3"/>
  <c r="E38" i="3"/>
  <c r="D38" i="3"/>
  <c r="G37" i="3"/>
  <c r="F37" i="3"/>
  <c r="E37" i="3"/>
  <c r="D37" i="3"/>
  <c r="G36" i="3"/>
  <c r="F36" i="3"/>
  <c r="E36" i="3"/>
  <c r="D36" i="3"/>
  <c r="G35" i="3"/>
  <c r="F35" i="3"/>
  <c r="E35" i="3"/>
  <c r="D35" i="3"/>
  <c r="G34" i="3"/>
  <c r="F34" i="3"/>
  <c r="E34" i="3"/>
  <c r="D34" i="3"/>
  <c r="G33" i="3"/>
  <c r="F33" i="3"/>
  <c r="E33" i="3"/>
  <c r="D33" i="3"/>
  <c r="C48" i="18"/>
  <c r="C69" i="18"/>
  <c r="C62" i="18"/>
  <c r="C55" i="18"/>
  <c r="F52" i="18" l="1"/>
  <c r="F51" i="18"/>
  <c r="F58" i="18"/>
  <c r="F59" i="18"/>
  <c r="F66" i="18"/>
  <c r="F65" i="18"/>
  <c r="W55" i="18"/>
  <c r="S53" i="18"/>
  <c r="X78" i="18"/>
  <c r="S76" i="18"/>
  <c r="X65" i="18"/>
  <c r="V55" i="18"/>
  <c r="W78" i="18"/>
  <c r="S79" i="18"/>
  <c r="W54" i="18"/>
  <c r="V78" i="18"/>
  <c r="V54" i="18"/>
  <c r="W77" i="18"/>
  <c r="Y67" i="18"/>
  <c r="AE55" i="18"/>
  <c r="AD53" i="18"/>
  <c r="V77" i="18"/>
  <c r="X67" i="18"/>
  <c r="AD55" i="18"/>
  <c r="AB53" i="18"/>
  <c r="AD76" i="18"/>
  <c r="AC55" i="18"/>
  <c r="Z53" i="18"/>
  <c r="AB76" i="18"/>
  <c r="AB55" i="18"/>
  <c r="X53" i="18"/>
  <c r="Z76" i="18"/>
  <c r="AA55" i="18"/>
  <c r="Z55" i="18"/>
  <c r="AD78" i="18"/>
  <c r="Y55" i="18"/>
  <c r="AB78" i="18"/>
  <c r="X55" i="18"/>
  <c r="Z78" i="18"/>
  <c r="V53" i="18"/>
  <c r="X76" i="18"/>
  <c r="U53" i="18"/>
  <c r="V76" i="18"/>
  <c r="T53" i="18"/>
  <c r="U76" i="18"/>
  <c r="S56" i="18"/>
  <c r="T76" i="18"/>
  <c r="Z61" i="18"/>
  <c r="U59" i="18"/>
  <c r="AD81" i="18"/>
  <c r="Z83" i="18"/>
  <c r="AE61" i="18"/>
  <c r="X83" i="18"/>
  <c r="T59" i="18"/>
  <c r="AB81" i="18"/>
  <c r="S59" i="18"/>
  <c r="Z81" i="18"/>
  <c r="W61" i="18"/>
  <c r="S62" i="18"/>
  <c r="X81" i="18"/>
  <c r="V61" i="18"/>
  <c r="AD83" i="18"/>
  <c r="V81" i="18"/>
  <c r="W60" i="18"/>
  <c r="AB83" i="18"/>
  <c r="U81" i="18"/>
  <c r="V60" i="18"/>
  <c r="T81" i="18"/>
  <c r="AD59" i="18"/>
  <c r="S81" i="18"/>
  <c r="S84" i="18"/>
  <c r="AD61" i="18"/>
  <c r="AC61" i="18"/>
  <c r="AB61" i="18"/>
  <c r="AA61" i="18"/>
  <c r="AB59" i="18"/>
  <c r="W83" i="18"/>
  <c r="Z59" i="18"/>
  <c r="V83" i="18"/>
  <c r="W82" i="18"/>
  <c r="V59" i="18"/>
  <c r="V82" i="18"/>
  <c r="V48" i="18"/>
  <c r="Z71" i="18"/>
  <c r="Y61" i="18"/>
  <c r="AE49" i="18"/>
  <c r="AD47" i="18"/>
  <c r="X71" i="18"/>
  <c r="X61" i="18"/>
  <c r="AD49" i="18"/>
  <c r="AB47" i="18"/>
  <c r="AD73" i="18"/>
  <c r="V71" i="18"/>
  <c r="AC49" i="18"/>
  <c r="Z47" i="18"/>
  <c r="AB73" i="18"/>
  <c r="U71" i="18"/>
  <c r="AB49" i="18"/>
  <c r="X47" i="18"/>
  <c r="Z73" i="18"/>
  <c r="T71" i="18"/>
  <c r="AA49" i="18"/>
  <c r="V47" i="18"/>
  <c r="X73" i="18"/>
  <c r="S71" i="18"/>
  <c r="Z49" i="18"/>
  <c r="U47" i="18"/>
  <c r="W73" i="18"/>
  <c r="Y49" i="18"/>
  <c r="T47" i="18"/>
  <c r="V73" i="18"/>
  <c r="S47" i="18"/>
  <c r="S50" i="18"/>
  <c r="S74" i="18"/>
  <c r="X49" i="18"/>
  <c r="W72" i="18"/>
  <c r="W49" i="18"/>
  <c r="V72" i="18"/>
  <c r="X59" i="18"/>
  <c r="V49" i="18"/>
  <c r="AD71" i="18"/>
  <c r="W48" i="18"/>
  <c r="AB71" i="18"/>
  <c r="AC67" i="18"/>
  <c r="Z65" i="18"/>
  <c r="AB88" i="18"/>
  <c r="U86" i="18"/>
  <c r="S68" i="18"/>
  <c r="AB67" i="18"/>
  <c r="Z88" i="18"/>
  <c r="T86" i="18"/>
  <c r="AA67" i="18"/>
  <c r="V65" i="18"/>
  <c r="X88" i="18"/>
  <c r="S86" i="18"/>
  <c r="Z67" i="18"/>
  <c r="U65" i="18"/>
  <c r="W88" i="18"/>
  <c r="S89" i="18"/>
  <c r="T65" i="18"/>
  <c r="V88" i="18"/>
  <c r="S65" i="18"/>
  <c r="W87" i="18"/>
  <c r="W67" i="18"/>
  <c r="V87" i="18"/>
  <c r="V67" i="18"/>
  <c r="AD86" i="18"/>
  <c r="W66" i="18"/>
  <c r="V66" i="18"/>
  <c r="AD65" i="18"/>
  <c r="AB65" i="18"/>
  <c r="AD88" i="18"/>
  <c r="AB86" i="18"/>
  <c r="Z86" i="18"/>
  <c r="X86" i="18"/>
  <c r="V86" i="18"/>
  <c r="AE67" i="18"/>
  <c r="AD67" i="18"/>
  <c r="O59" i="18"/>
  <c r="O58" i="18"/>
  <c r="N59" i="18"/>
  <c r="O57" i="18"/>
  <c r="N58" i="18"/>
  <c r="O56" i="18"/>
  <c r="L59" i="18"/>
  <c r="N57" i="18"/>
  <c r="O55" i="18"/>
  <c r="L58" i="18"/>
  <c r="N56" i="18"/>
  <c r="L57" i="18"/>
  <c r="N55" i="18"/>
  <c r="L56" i="18"/>
  <c r="L55" i="18"/>
  <c r="N70" i="18"/>
  <c r="L73" i="18"/>
  <c r="J73" i="18"/>
  <c r="F72" i="18"/>
  <c r="J70" i="18"/>
  <c r="F69" i="18"/>
  <c r="N69" i="18"/>
  <c r="L72" i="18"/>
  <c r="I73" i="18"/>
  <c r="E72" i="18"/>
  <c r="I70" i="18"/>
  <c r="E69" i="18"/>
  <c r="L71" i="18"/>
  <c r="H73" i="18"/>
  <c r="M71" i="18"/>
  <c r="H70" i="18"/>
  <c r="L70" i="18"/>
  <c r="G73" i="18"/>
  <c r="K71" i="18"/>
  <c r="G70" i="18"/>
  <c r="L69" i="18"/>
  <c r="F73" i="18"/>
  <c r="J71" i="18"/>
  <c r="F70" i="18"/>
  <c r="E73" i="18"/>
  <c r="I71" i="18"/>
  <c r="E70" i="18"/>
  <c r="M72" i="18"/>
  <c r="H71" i="18"/>
  <c r="M69" i="18"/>
  <c r="O73" i="18"/>
  <c r="K72" i="18"/>
  <c r="G71" i="18"/>
  <c r="K69" i="18"/>
  <c r="O72" i="18"/>
  <c r="J72" i="18"/>
  <c r="F71" i="18"/>
  <c r="J69" i="18"/>
  <c r="N73" i="18"/>
  <c r="O71" i="18"/>
  <c r="I72" i="18"/>
  <c r="E71" i="18"/>
  <c r="I69" i="18"/>
  <c r="N72" i="18"/>
  <c r="O70" i="18"/>
  <c r="M73" i="18"/>
  <c r="H72" i="18"/>
  <c r="G69" i="18"/>
  <c r="N71" i="18"/>
  <c r="O69" i="18"/>
  <c r="K73" i="18"/>
  <c r="G72" i="18"/>
  <c r="M70" i="18"/>
  <c r="K70" i="18"/>
  <c r="H69" i="18"/>
  <c r="L65" i="18"/>
  <c r="I65" i="18"/>
  <c r="E64" i="18"/>
  <c r="I62" i="18"/>
  <c r="L64" i="18"/>
  <c r="M66" i="18"/>
  <c r="H65" i="18"/>
  <c r="M63" i="18"/>
  <c r="H62" i="18"/>
  <c r="O65" i="18"/>
  <c r="L63" i="18"/>
  <c r="K66" i="18"/>
  <c r="G65" i="18"/>
  <c r="K63" i="18"/>
  <c r="G62" i="18"/>
  <c r="O66" i="18"/>
  <c r="O64" i="18"/>
  <c r="L62" i="18"/>
  <c r="J66" i="18"/>
  <c r="J63" i="18"/>
  <c r="F62" i="18"/>
  <c r="O63" i="18"/>
  <c r="I66" i="18"/>
  <c r="E65" i="18"/>
  <c r="I63" i="18"/>
  <c r="E62" i="18"/>
  <c r="N66" i="18"/>
  <c r="O62" i="18"/>
  <c r="H66" i="18"/>
  <c r="M64" i="18"/>
  <c r="H63" i="18"/>
  <c r="N65" i="18"/>
  <c r="G66" i="18"/>
  <c r="K64" i="18"/>
  <c r="G63" i="18"/>
  <c r="N64" i="18"/>
  <c r="J64" i="18"/>
  <c r="F63" i="18"/>
  <c r="N63" i="18"/>
  <c r="E66" i="18"/>
  <c r="I64" i="18"/>
  <c r="E63" i="18"/>
  <c r="N62" i="18"/>
  <c r="M65" i="18"/>
  <c r="H64" i="18"/>
  <c r="M62" i="18"/>
  <c r="K65" i="18"/>
  <c r="G64" i="18"/>
  <c r="K62" i="18"/>
  <c r="L66" i="18"/>
  <c r="J65" i="18"/>
  <c r="F64" i="18"/>
  <c r="J62" i="18"/>
  <c r="O50" i="18"/>
  <c r="L49" i="18"/>
  <c r="J52" i="18"/>
  <c r="J49" i="18"/>
  <c r="F48" i="18"/>
  <c r="O48" i="18"/>
  <c r="H52" i="18"/>
  <c r="H49" i="18"/>
  <c r="G52" i="18"/>
  <c r="G49" i="18"/>
  <c r="J50" i="18"/>
  <c r="N49" i="18"/>
  <c r="E52" i="18"/>
  <c r="M51" i="18"/>
  <c r="M48" i="18"/>
  <c r="K51" i="18"/>
  <c r="K48" i="18"/>
  <c r="J51" i="18"/>
  <c r="L52" i="18"/>
  <c r="I51" i="18"/>
  <c r="I48" i="18"/>
  <c r="L51" i="18"/>
  <c r="H51" i="18"/>
  <c r="H48" i="18"/>
  <c r="O51" i="18"/>
  <c r="K52" i="18"/>
  <c r="K49" i="18"/>
  <c r="O49" i="18"/>
  <c r="L48" i="18"/>
  <c r="I52" i="18"/>
  <c r="E51" i="18"/>
  <c r="I49" i="18"/>
  <c r="E48" i="18"/>
  <c r="N52" i="18"/>
  <c r="M50" i="18"/>
  <c r="N51" i="18"/>
  <c r="K50" i="18"/>
  <c r="N50" i="18"/>
  <c r="F49" i="18"/>
  <c r="I50" i="18"/>
  <c r="E49" i="18"/>
  <c r="N48" i="18"/>
  <c r="H50" i="18"/>
  <c r="G50" i="18"/>
  <c r="F50" i="18"/>
  <c r="J48" i="18"/>
  <c r="E50" i="18"/>
  <c r="O52" i="18"/>
  <c r="M52" i="18"/>
  <c r="M49" i="18"/>
  <c r="L50" i="18"/>
  <c r="G51" i="18"/>
  <c r="G48" i="18"/>
  <c r="M59" i="18"/>
  <c r="K57" i="18"/>
  <c r="J56" i="18"/>
  <c r="I55" i="18"/>
  <c r="K58" i="18"/>
  <c r="J57" i="18"/>
  <c r="I56" i="18"/>
  <c r="H55" i="18"/>
  <c r="K59" i="18"/>
  <c r="J58" i="18"/>
  <c r="I57" i="18"/>
  <c r="H56" i="18"/>
  <c r="G55" i="18"/>
  <c r="J59" i="18"/>
  <c r="I58" i="18"/>
  <c r="H57" i="18"/>
  <c r="G56" i="18"/>
  <c r="F55" i="18"/>
  <c r="I59" i="18"/>
  <c r="H58" i="18"/>
  <c r="G57" i="18"/>
  <c r="F56" i="18"/>
  <c r="E55" i="18"/>
  <c r="H59" i="18"/>
  <c r="G58" i="18"/>
  <c r="F57" i="18"/>
  <c r="E56" i="18"/>
  <c r="G59" i="18"/>
  <c r="E59" i="18"/>
  <c r="M55" i="18"/>
  <c r="M56" i="18"/>
  <c r="M57" i="18"/>
  <c r="K55" i="18"/>
  <c r="J55" i="18"/>
  <c r="E57" i="18"/>
  <c r="E58" i="18"/>
  <c r="M58" i="18"/>
  <c r="K56" i="18"/>
  <c r="C47" i="18"/>
  <c r="C68" i="18"/>
  <c r="C61" i="18"/>
  <c r="C54" i="18"/>
  <c r="Z84" i="18" l="1"/>
  <c r="AB84" i="18"/>
  <c r="X84" i="18"/>
  <c r="W84" i="18"/>
  <c r="V84" i="18"/>
  <c r="U84" i="18"/>
  <c r="T84" i="18"/>
  <c r="AD84" i="18"/>
  <c r="AD74" i="18"/>
  <c r="AB74" i="18"/>
  <c r="Z74" i="18"/>
  <c r="T74" i="18"/>
  <c r="X74" i="18"/>
  <c r="W74" i="18"/>
  <c r="V74" i="18"/>
  <c r="U74" i="18"/>
  <c r="V79" i="18"/>
  <c r="U79" i="18"/>
  <c r="X79" i="18"/>
  <c r="AD79" i="18"/>
  <c r="AB79" i="18"/>
  <c r="Z79" i="18"/>
  <c r="W79" i="18"/>
  <c r="T79" i="18"/>
  <c r="X89" i="18"/>
  <c r="AD89" i="18"/>
  <c r="AB89" i="18"/>
  <c r="Z89" i="18"/>
  <c r="W89" i="18"/>
  <c r="V89" i="18"/>
  <c r="U89" i="18"/>
  <c r="T89" i="18"/>
  <c r="AC51" i="18"/>
  <c r="AC50" i="18"/>
  <c r="AB51" i="18"/>
  <c r="AB50" i="18"/>
  <c r="AA51" i="18"/>
  <c r="AA50" i="18"/>
  <c r="Z51" i="18"/>
  <c r="Z50" i="18"/>
  <c r="Y51" i="18"/>
  <c r="T50" i="18"/>
  <c r="X51" i="18"/>
  <c r="Y50" i="18"/>
  <c r="W51" i="18"/>
  <c r="X50" i="18"/>
  <c r="V51" i="18"/>
  <c r="W50" i="18"/>
  <c r="U51" i="18"/>
  <c r="V50" i="18"/>
  <c r="T51" i="18"/>
  <c r="U50" i="18"/>
  <c r="AE51" i="18"/>
  <c r="AE50" i="18"/>
  <c r="AD51" i="18"/>
  <c r="AD50" i="18"/>
  <c r="AC69" i="18"/>
  <c r="AC68" i="18"/>
  <c r="AB69" i="18"/>
  <c r="AB68" i="18"/>
  <c r="AA69" i="18"/>
  <c r="AA68" i="18"/>
  <c r="Z69" i="18"/>
  <c r="Z68" i="18"/>
  <c r="Y69" i="18"/>
  <c r="Y68" i="18"/>
  <c r="X69" i="18"/>
  <c r="X68" i="18"/>
  <c r="W69" i="18"/>
  <c r="W68" i="18"/>
  <c r="V69" i="18"/>
  <c r="V68" i="18"/>
  <c r="U69" i="18"/>
  <c r="U68" i="18"/>
  <c r="T69" i="18"/>
  <c r="T68" i="18"/>
  <c r="AE69" i="18"/>
  <c r="AE68" i="18"/>
  <c r="AD69" i="18"/>
  <c r="AD68" i="18"/>
  <c r="AE63" i="18"/>
  <c r="AE62" i="18"/>
  <c r="U63" i="18"/>
  <c r="T62" i="18"/>
  <c r="AD63" i="18"/>
  <c r="AD62" i="18"/>
  <c r="AB63" i="18"/>
  <c r="V62" i="18"/>
  <c r="AC63" i="18"/>
  <c r="AC62" i="18"/>
  <c r="AB62" i="18"/>
  <c r="Y63" i="18"/>
  <c r="X62" i="18"/>
  <c r="W63" i="18"/>
  <c r="W62" i="18"/>
  <c r="V63" i="18"/>
  <c r="U62" i="18"/>
  <c r="AA63" i="18"/>
  <c r="AA62" i="18"/>
  <c r="Z63" i="18"/>
  <c r="Z62" i="18"/>
  <c r="Y62" i="18"/>
  <c r="X63" i="18"/>
  <c r="T63" i="18"/>
  <c r="AE57" i="18"/>
  <c r="AE56" i="18"/>
  <c r="AC56" i="18"/>
  <c r="AB57" i="18"/>
  <c r="AB56" i="18"/>
  <c r="U57" i="18"/>
  <c r="T57" i="18"/>
  <c r="AD57" i="18"/>
  <c r="AD56" i="18"/>
  <c r="AA57" i="18"/>
  <c r="W56" i="18"/>
  <c r="T56" i="18"/>
  <c r="AC57" i="18"/>
  <c r="AA56" i="18"/>
  <c r="V57" i="18"/>
  <c r="Z57" i="18"/>
  <c r="Z56" i="18"/>
  <c r="Y57" i="18"/>
  <c r="Y56" i="18"/>
  <c r="X57" i="18"/>
  <c r="X56" i="18"/>
  <c r="W57" i="18"/>
  <c r="V56" i="18"/>
  <c r="U56"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<sst xmlns="http://schemas.openxmlformats.org/spreadsheetml/2006/main" count="1420" uniqueCount="266">
  <si>
    <t>FEATURES</t>
  </si>
  <si>
    <t>Unit Size</t>
  </si>
  <si>
    <t>SUBMITTAL DATA</t>
  </si>
  <si>
    <t>Architect:</t>
  </si>
  <si>
    <t>Date:</t>
  </si>
  <si>
    <t>For:</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</si>
  <si>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</si>
  <si>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</si>
  <si>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</si>
  <si>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</si>
  <si>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</si>
  <si>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</si>
  <si>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</si>
  <si>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</si>
  <si>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</si>
  <si>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</si>
  <si>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</si>
  <si>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</si>
  <si>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</si>
  <si>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</si>
  <si>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</si>
  <si>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t>Max Unit Weight (lbs)</t>
  </si>
  <si>
    <t>5kW</t>
  </si>
  <si>
    <t>Factory Installed Heat (kW)</t>
  </si>
  <si>
    <t>10kW</t>
  </si>
  <si>
    <t>Factory Installed metering device</t>
  </si>
  <si>
    <t>Refrigerant (R22 or R-410A)</t>
  </si>
  <si>
    <t>Metering Device</t>
  </si>
  <si>
    <t>15kW</t>
  </si>
  <si>
    <t>20kW</t>
  </si>
  <si>
    <t>1/2</t>
  </si>
  <si>
    <t>3/4</t>
  </si>
  <si>
    <t>Revision</t>
  </si>
  <si>
    <t>208/240 V, 60 Hz, 1 ph. (ECM only)</t>
  </si>
  <si>
    <t>208/240 V, 60 Hz, 1 ph. (PSC only)</t>
  </si>
  <si>
    <t>Electric Heat</t>
  </si>
  <si>
    <t>Series</t>
  </si>
  <si>
    <t>Blower Motor</t>
  </si>
  <si>
    <t>Airflow Config.</t>
  </si>
  <si>
    <t>Slab No.</t>
  </si>
  <si>
    <t>Line Voltage Connection</t>
  </si>
  <si>
    <t>Voltage</t>
  </si>
  <si>
    <t>E:</t>
  </si>
  <si>
    <t>1:</t>
  </si>
  <si>
    <t>2:</t>
  </si>
  <si>
    <t>3:</t>
  </si>
  <si>
    <t>4:</t>
  </si>
  <si>
    <t>120 V, 60 Hz, 1 ph. (PSC only)</t>
  </si>
  <si>
    <t>120 V, 60 Hz, 1 ph. (ECM only)</t>
  </si>
  <si>
    <t>00:</t>
  </si>
  <si>
    <t>05:</t>
  </si>
  <si>
    <t>07:</t>
  </si>
  <si>
    <t>10:</t>
  </si>
  <si>
    <t>15:</t>
  </si>
  <si>
    <t>20:</t>
  </si>
  <si>
    <t>none</t>
  </si>
  <si>
    <t>B</t>
  </si>
  <si>
    <t>No Electric Heat</t>
  </si>
  <si>
    <t>BTUH</t>
  </si>
  <si>
    <t>120 V</t>
  </si>
  <si>
    <t>208 V</t>
  </si>
  <si>
    <t>240 V</t>
  </si>
  <si>
    <t>Circuit</t>
  </si>
  <si>
    <t>Total Heat Capacity</t>
  </si>
  <si>
    <t>Electric Heating capacity</t>
  </si>
  <si>
    <t>Blower Amps (A)</t>
  </si>
  <si>
    <t>Minimum Circuit Ampacity (A)</t>
  </si>
  <si>
    <r>
      <t>Maximum Circuit Breaker size</t>
    </r>
    <r>
      <rPr>
        <b/>
        <vertAlign val="superscript"/>
        <sz val="11"/>
        <color theme="1"/>
        <rFont val="Calibri"/>
        <family val="2"/>
        <scheme val="minor"/>
      </rPr>
      <t>[3]</t>
    </r>
    <r>
      <rPr>
        <b/>
        <sz val="11"/>
        <color theme="1"/>
        <rFont val="Calibri"/>
        <family val="2"/>
        <scheme val="minor"/>
      </rPr>
      <t xml:space="preserve"> (A)</t>
    </r>
  </si>
  <si>
    <r>
      <t>kW</t>
    </r>
    <r>
      <rPr>
        <b/>
        <vertAlign val="superscript"/>
        <sz val="11"/>
        <color theme="1"/>
        <rFont val="Calibri"/>
        <family val="2"/>
        <scheme val="minor"/>
      </rPr>
      <t>[1]</t>
    </r>
  </si>
  <si>
    <r>
      <t>240 V</t>
    </r>
    <r>
      <rPr>
        <b/>
        <vertAlign val="superscript"/>
        <sz val="11"/>
        <color theme="1"/>
        <rFont val="Calibri"/>
        <family val="2"/>
        <scheme val="minor"/>
      </rPr>
      <t>[2]</t>
    </r>
  </si>
  <si>
    <t>CKT 1</t>
  </si>
  <si>
    <t>CKT 2</t>
  </si>
  <si>
    <t>Electric Data</t>
  </si>
  <si>
    <t>Airflow (CFM) vs. External Static Pressure (inches W.C.)</t>
  </si>
  <si>
    <t>Speed</t>
  </si>
  <si>
    <t>Part Number</t>
  </si>
  <si>
    <t>Pallet Quantity (min order per model)</t>
  </si>
  <si>
    <t>Blower Data: Motor H.P.</t>
  </si>
  <si>
    <t>Blower Data: F.L.A. @ 240 V</t>
  </si>
  <si>
    <t>7.5kw</t>
  </si>
  <si>
    <t>40 VA, Class 2</t>
  </si>
  <si>
    <t>Motor Type</t>
  </si>
  <si>
    <t>Blower Data:</t>
  </si>
  <si>
    <t>Voltage/Motor</t>
  </si>
  <si>
    <t>Tap</t>
  </si>
  <si>
    <t>ID</t>
  </si>
  <si>
    <t>B:</t>
  </si>
  <si>
    <t>F.L.A.</t>
  </si>
  <si>
    <r>
      <t>mFurnace</t>
    </r>
    <r>
      <rPr>
        <vertAlign val="superscript"/>
        <sz val="14"/>
        <color theme="1"/>
        <rFont val="Calibri"/>
        <family val="2"/>
        <scheme val="minor"/>
      </rPr>
      <t>TM</t>
    </r>
    <r>
      <rPr>
        <sz val="14"/>
        <color theme="1"/>
        <rFont val="Calibri"/>
        <family val="2"/>
        <scheme val="minor"/>
      </rPr>
      <t xml:space="preserve"> AIR HANDLER</t>
    </r>
  </si>
  <si>
    <t>AMH</t>
  </si>
  <si>
    <t>E</t>
  </si>
  <si>
    <t>5-speed ECM motor</t>
  </si>
  <si>
    <t>5:</t>
  </si>
  <si>
    <t>2 Ton</t>
  </si>
  <si>
    <t>3 Ton</t>
  </si>
  <si>
    <t>4 Ton</t>
  </si>
  <si>
    <t>5 Ton</t>
  </si>
  <si>
    <t>Configuration</t>
  </si>
  <si>
    <t>D</t>
  </si>
  <si>
    <t>D:</t>
  </si>
  <si>
    <t>Downflow</t>
  </si>
  <si>
    <t>12:</t>
  </si>
  <si>
    <t>none    (sizes 2-5)</t>
  </si>
  <si>
    <t>5kW     (sizes 2-5)</t>
  </si>
  <si>
    <t>7.5kW     (sizes 2-5)</t>
  </si>
  <si>
    <t>10kW     (sizes 2-5)</t>
  </si>
  <si>
    <t>20kW     (sizes 4-5)</t>
  </si>
  <si>
    <t>15kW     (sizes 3-5)</t>
  </si>
  <si>
    <t>12kW     (sizes 3-5)</t>
  </si>
  <si>
    <t>S:</t>
  </si>
  <si>
    <t>Stripped Wires</t>
  </si>
  <si>
    <t>Circuit Breaker</t>
  </si>
  <si>
    <t>120 V, 60 Hz, 1 ph.</t>
  </si>
  <si>
    <t>208/240 V, 60 Hz, 1 ph.</t>
  </si>
  <si>
    <t>N:</t>
  </si>
  <si>
    <t>Not Included</t>
  </si>
  <si>
    <t>N</t>
  </si>
  <si>
    <t>10</t>
  </si>
  <si>
    <t>Coil Cabinet</t>
  </si>
  <si>
    <t>Product Nomenclature</t>
  </si>
  <si>
    <t>3^</t>
  </si>
  <si>
    <t>4#</t>
  </si>
  <si>
    <t>5*</t>
  </si>
  <si>
    <t>4#,^</t>
  </si>
  <si>
    <t>AMHE2D</t>
  </si>
  <si>
    <t>AMHE3D</t>
  </si>
  <si>
    <t>AMHE4D</t>
  </si>
  <si>
    <t>AMHE5D</t>
  </si>
  <si>
    <t>All data is given while air handler is operating with a dry coil and air filter installed.</t>
  </si>
  <si>
    <t>Speeds marked bold with * are the factory speed settings for Cooling.</t>
  </si>
  <si>
    <t>Speeds marked bold with # are the factory speed settings for Heating.</t>
  </si>
  <si>
    <t>Speeds marked bold with ^ are minimum speed tap allowed for electric heating.</t>
  </si>
  <si>
    <t xml:space="preserve">Different speeds can be set for cooling mode; see installation instructions for changing cooling speeds. </t>
  </si>
  <si>
    <t>Speed tap 4 is the maximum allowed for electric heating and heat pump operation in AMHE5D models.</t>
  </si>
  <si>
    <t>2_5-speed ECM motor_1</t>
  </si>
  <si>
    <t>2_5-speed ECM motor_2</t>
  </si>
  <si>
    <t>2_5-speed ECM motor_3</t>
  </si>
  <si>
    <t>2_5-speed ECM motor_4</t>
  </si>
  <si>
    <t>2_5-speed ECM motor_5</t>
  </si>
  <si>
    <t>3_5-speed ECM motor_1</t>
  </si>
  <si>
    <t>3_5-speed ECM motor_2</t>
  </si>
  <si>
    <t>3_5-speed ECM motor_3</t>
  </si>
  <si>
    <t>3_5-speed ECM motor_4</t>
  </si>
  <si>
    <t>3_5-speed ECM motor_5</t>
  </si>
  <si>
    <t>4_5-speed ECM motor_1</t>
  </si>
  <si>
    <t>4_5-speed ECM motor_2</t>
  </si>
  <si>
    <t>4_5-speed ECM motor_3</t>
  </si>
  <si>
    <t>4_5-speed ECM motor_4</t>
  </si>
  <si>
    <t>4_5-speed ECM motor_5</t>
  </si>
  <si>
    <t>5_5-speed ECM motor_1</t>
  </si>
  <si>
    <t>5_5-speed ECM motor_2</t>
  </si>
  <si>
    <t>5_5-speed ECM motor_3</t>
  </si>
  <si>
    <t>5_5-speed ECM motor_4</t>
  </si>
  <si>
    <t>5_5-speed ECM motor_5</t>
  </si>
  <si>
    <t>AMHE2D00S1N1</t>
  </si>
  <si>
    <t>AMHE2D00S2N1</t>
  </si>
  <si>
    <t>AMHE2D00B1N1</t>
  </si>
  <si>
    <t>AMHE2D00B2N1</t>
  </si>
  <si>
    <t>AMHE2D05S2N1</t>
  </si>
  <si>
    <t>AMHE2D05B2N1</t>
  </si>
  <si>
    <t>AMHE2D07S2N1</t>
  </si>
  <si>
    <t>AMHE2D07B2N1</t>
  </si>
  <si>
    <t>AMHE2D010S2N1</t>
  </si>
  <si>
    <t>AMHE2D010B2N1</t>
  </si>
  <si>
    <t>AMHE3D00S1N1</t>
  </si>
  <si>
    <t>AMHE3D00S2N1</t>
  </si>
  <si>
    <t>AMHE3D00B1N1</t>
  </si>
  <si>
    <t>AMHE3D00B2N1</t>
  </si>
  <si>
    <t>AMHE3D05S2N1</t>
  </si>
  <si>
    <t>AMHE3D05B2N1</t>
  </si>
  <si>
    <t>AMHE3D07S2N1</t>
  </si>
  <si>
    <t>AMHE3D07B2N1</t>
  </si>
  <si>
    <t>AMHE3D010S2N1</t>
  </si>
  <si>
    <t>AMHE3D010B2N1</t>
  </si>
  <si>
    <t>AMHE3D012S2N1</t>
  </si>
  <si>
    <t>AMHE3D012B2N1</t>
  </si>
  <si>
    <t>AMHE3D015S2N1</t>
  </si>
  <si>
    <t>AMHE3D015B2N1</t>
  </si>
  <si>
    <t>AMHE4D00S1N1</t>
  </si>
  <si>
    <t>AMHE4D00S2N1</t>
  </si>
  <si>
    <t>AMHE4D00B1N1</t>
  </si>
  <si>
    <t>AMHE4D00B2N1</t>
  </si>
  <si>
    <t>AMHE4D05S2N1</t>
  </si>
  <si>
    <t>AMHE4D05B2N1</t>
  </si>
  <si>
    <t>AMHE4D07S2N1</t>
  </si>
  <si>
    <t>AMHE4D07B2N1</t>
  </si>
  <si>
    <t>AMHE4D010S2N1</t>
  </si>
  <si>
    <t>AMHE4D010B2N1</t>
  </si>
  <si>
    <t>AMHE4D012S2N1</t>
  </si>
  <si>
    <t>AMHE4D012B2N1</t>
  </si>
  <si>
    <t>AMHE4D015S2N1</t>
  </si>
  <si>
    <t>AMHE4D015B2N1</t>
  </si>
  <si>
    <t>AMHE4D020S2N1</t>
  </si>
  <si>
    <t>AMHE4D020B2N1</t>
  </si>
  <si>
    <t>AMHE5D00S1N1</t>
  </si>
  <si>
    <t>AMHE5D00S2N1</t>
  </si>
  <si>
    <t>AMHE5D00B1N1</t>
  </si>
  <si>
    <t>AMHE5D00B2N1</t>
  </si>
  <si>
    <t>AMHE5D05S2N1</t>
  </si>
  <si>
    <t>AMHE5D05B2N1</t>
  </si>
  <si>
    <t>AMHE5D07S2N1</t>
  </si>
  <si>
    <t>AMHE5D07B2N1</t>
  </si>
  <si>
    <t>AMHE5D010S2N1</t>
  </si>
  <si>
    <t>AMHE5D010B2N1</t>
  </si>
  <si>
    <t>AMHE5D012S2N1</t>
  </si>
  <si>
    <t>AMHE5D012B2N1</t>
  </si>
  <si>
    <t>AMHE5D015S2N1</t>
  </si>
  <si>
    <t>AMHE5D015B2N1</t>
  </si>
  <si>
    <t>AMHE5D020S2N1</t>
  </si>
  <si>
    <t>AMHE5D020B2N1</t>
  </si>
  <si>
    <t>10kw</t>
  </si>
  <si>
    <t>12.5kw</t>
  </si>
  <si>
    <t>15kw</t>
  </si>
  <si>
    <t>20kw</t>
  </si>
  <si>
    <t>AMH Series</t>
  </si>
  <si>
    <t>N/A</t>
  </si>
  <si>
    <t>600 - 800</t>
  </si>
  <si>
    <t>900 - 1100</t>
  </si>
  <si>
    <t>1200 - 1400</t>
  </si>
  <si>
    <t>1200 - 1800</t>
  </si>
  <si>
    <t>30*</t>
  </si>
  <si>
    <t>50*</t>
  </si>
  <si>
    <t>60*</t>
  </si>
  <si>
    <t>Total Current (A)</t>
  </si>
  <si>
    <t xml:space="preserve">[1] For 208 volt use 0.751 correction factor for kW &amp; BTUH. 
</t>
  </si>
  <si>
    <t>[2] Verify breaker sizing based on minimum circuit ampacity.</t>
  </si>
  <si>
    <t>* Circuit Breaker supplied with heat kit must be changed.</t>
  </si>
  <si>
    <t>5kw</t>
  </si>
  <si>
    <t>kW</t>
  </si>
  <si>
    <t>Maximum Circuit Breaker size (A)</t>
  </si>
  <si>
    <t>120 V, 60 Hz, 1 ph. (ECM only)_2_none_1</t>
  </si>
  <si>
    <t>120 V, 60 Hz, 1 ph. (ECM only)_3_none_1</t>
  </si>
  <si>
    <t>120 V, 60 Hz, 1 ph. (ECM only)_4_none_1</t>
  </si>
  <si>
    <t>120 V, 60 Hz, 1 ph. (ECM only)_5_none_1</t>
  </si>
  <si>
    <t>208/240 V, 60 Hz, 1 ph. (ECM only)_2_none_1</t>
  </si>
  <si>
    <t>208/240 V, 60 Hz, 1 ph. (ECM only)_2_5kw_1</t>
  </si>
  <si>
    <t>208/240 V, 60 Hz, 1 ph. (ECM only)_2_7.5kw_1</t>
  </si>
  <si>
    <t>208/240 V, 60 Hz, 1 ph. (ECM only)_2_10kw_1</t>
  </si>
  <si>
    <t>208/240 V, 60 Hz, 1 ph. (ECM only)_3_none_1</t>
  </si>
  <si>
    <t>208/240 V, 60 Hz, 1 ph. (ECM only)_3_5kw_1</t>
  </si>
  <si>
    <t>208/240 V, 60 Hz, 1 ph. (ECM only)_3_7.5kw_1</t>
  </si>
  <si>
    <t>208/240 V, 60 Hz, 1 ph. (ECM only)_3_10kw_1</t>
  </si>
  <si>
    <t>208/240 V, 60 Hz, 1 ph. (ECM only)_3_12.5kw_1</t>
  </si>
  <si>
    <t>208/240 V, 60 Hz, 1 ph. (ECM only)_3_12.5kw_2</t>
  </si>
  <si>
    <t>208/240 V, 60 Hz, 1 ph. (ECM only)_3_15kw_1</t>
  </si>
  <si>
    <t>208/240 V, 60 Hz, 1 ph. (ECM only)_3_15kw_2</t>
  </si>
  <si>
    <t>208/240 V, 60 Hz, 1 ph. (ECM only)_4_none_1</t>
  </si>
  <si>
    <t>208/240 V, 60 Hz, 1 ph. (ECM only)_4_5kw_1</t>
  </si>
  <si>
    <t>208/240 V, 60 Hz, 1 ph. (ECM only)_4_7.5kw_1</t>
  </si>
  <si>
    <t>208/240 V, 60 Hz, 1 ph. (ECM only)_4_10kw_1</t>
  </si>
  <si>
    <t>208/240 V, 60 Hz, 1 ph. (ECM only)_4_12.5kw_1</t>
  </si>
  <si>
    <t>208/240 V, 60 Hz, 1 ph. (ECM only)_4_12.5kw_2</t>
  </si>
  <si>
    <t>208/240 V, 60 Hz, 1 ph. (ECM only)_4_15kw_1</t>
  </si>
  <si>
    <t>208/240 V, 60 Hz, 1 ph. (ECM only)_4_15kw_2</t>
  </si>
  <si>
    <t>208/240 V, 60 Hz, 1 ph. (ECM only)_4_20kw_1</t>
  </si>
  <si>
    <t>208/240 V, 60 Hz, 1 ph. (ECM only)_4_20kw_2</t>
  </si>
  <si>
    <t>208/240 V, 60 Hz, 1 ph. (ECM only)_5_none_1</t>
  </si>
  <si>
    <t>208/240 V, 60 Hz, 1 ph. (ECM only)_5_5kw_1</t>
  </si>
  <si>
    <t>208/240 V, 60 Hz, 1 ph. (ECM only)_5_7.5kw_1</t>
  </si>
  <si>
    <t>208/240 V, 60 Hz, 1 ph. (ECM only)_5_10kw_1</t>
  </si>
  <si>
    <t>208/240 V, 60 Hz, 1 ph. (ECM only)_5_12.5kw_1</t>
  </si>
  <si>
    <t>208/240 V, 60 Hz, 1 ph. (ECM only)_5_12.5kw_2</t>
  </si>
  <si>
    <t>208/240 V, 60 Hz, 1 ph. (ECM only)_5_15kw_1</t>
  </si>
  <si>
    <t>208/240 V, 60 Hz, 1 ph. (ECM only)_5_15kw_2</t>
  </si>
  <si>
    <t>208/240 V, 60 Hz, 1 ph. (ECM only)_5_20kw_1</t>
  </si>
  <si>
    <t>208/240 V, 60 Hz, 1 ph. (ECM only)_5_20kw_2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</si>
</sst>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56">
    <font>
      <sz val="10"/>
      <color theme="1"/>
      <name val="Century Gothic"/>
      <family val="2"/>
    </font>
    <font>
      <sz val="11"/>
      <color theme="1"/>
      <name val="Calibri"/>
      <family val="2"/>
      <scheme val="minor"/>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sz val="8"/>
      <color rgb="FF000000"/>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i/>
      <sz val="10"/>
      <name val="Arial"/>
      <family val="2"/>
    </font>
    <font>
      <b/>
      <i/>
      <sz val="12"/>
      <name val="Arial"/>
      <family val="2"/>
    </font>
    <font>
      <b/>
      <sz val="9"/>
      <name val="Arial"/>
      <family val="2"/>
    </font>
    <font>
      <b/>
      <vertAlign val="superscript"/>
      <sz val="11"/>
      <color theme="1"/>
      <name val="Calibri"/>
      <family val="2"/>
      <scheme val="minor"/>
    </font>
    <font>
      <b/>
      <i/>
      <sz val="9"/>
      <name val="Arial"/>
      <family val="2"/>
    </font>
    <font>
      <b/>
      <sz val="10"/>
      <name val="Arial"/>
      <family val="2"/>
    </font>
    <font>
      <sz val="11"/>
      <color theme="0"/>
      <name val="Arial"/>
      <family val="2"/>
    </font>
    <font>
      <sz val="9"/>
      <color theme="0"/>
      <name val="Arial"/>
      <family val="2"/>
    </font>
    <font>
      <b/>
      <i/>
      <sz val="11"/>
      <color theme="0"/>
      <name val="Arial"/>
      <family val="2"/>
    </font>
    <font>
      <b/>
      <i/>
      <sz val="10"/>
      <color theme="0"/>
      <name val="Arial"/>
      <family val="2"/>
    </font>
    <font>
      <sz val="10"/>
      <color theme="0"/>
      <name val="Arial"/>
      <family val="2"/>
    </font>
    <font>
      <b/>
      <sz val="9"/>
      <color theme="0"/>
      <name val="Arial"/>
      <family val="2"/>
    </font>
    <font>
      <sz val="8"/>
      <name val="Century Gothic"/>
      <family val="2"/>
    </font>
    <font>
      <b/>
      <sz val="8"/>
      <color rgb="FF000000"/>
      <name val="Arial"/>
      <family val="2"/>
    </font>
    <font>
      <sz val="9"/>
      <color rgb="FF000000"/>
      <name val="Arial"/>
      <family val="2"/>
    </font>
    <font>
      <sz val="8"/>
      <color theme="1"/>
      <name val="Calibri"/>
      <family val="2"/>
      <scheme val="minor"/>
    </font>
    <font>
      <b/>
      <sz val="8"/>
      <color theme="0"/>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b/>
      <sz val="11"/>
      <color theme="0"/>
      <name val="Calibri"/>
      <family val="2"/>
      <scheme val="minor"/>
    </font>
    <font>
      <b/>
      <sz val="28"/>
      <color theme="1"/>
      <name val="Calibri"/>
      <family val="2"/>
      <scheme val="minor"/>
    </font>
    <font>
      <b/>
      <sz val="9"/>
      <color theme="0"/>
      <name val="Calibri"/>
      <family val="2"/>
      <scheme val="minor"/>
    </font>
    <font>
      <vertAlign val="superscript"/>
      <sz val="14"/>
      <color theme="1"/>
      <name val="Calibri"/>
      <family val="2"/>
      <scheme val="minor"/>
    </font>
    <font>
      <sz val="9"/>
      <color theme="1"/>
      <name val="Calibri"/>
      <family val="2"/>
      <scheme val="minor"/>
    </font>
    <font>
      <b/>
      <sz val="9"/>
      <color theme="1"/>
      <name val="Calibri"/>
      <family val="2"/>
      <scheme val="minor"/>
    </font>
    <font>
      <b/>
      <sz val="9"/>
      <color rgb="FF000000"/>
      <name val="Arial"/>
      <family val="2"/>
    </font>
    <font>
      <sz val="9"/>
      <color theme="1"/>
      <name val="Century Gothic"/>
      <family val="2"/>
    </font>
    <font>
      <i/>
      <sz val="9"/>
      <color theme="1"/>
      <name val="Calibri"/>
      <family val="2"/>
      <scheme val="minor"/>
    </font>
    <font>
      <b/>
      <i/>
      <sz val="9"/>
      <color theme="1"/>
      <name val="Calibri"/>
      <family val="2"/>
      <scheme val="minor"/>
    </font>
    <font>
      <b/>
      <sz val="9"/>
      <color theme="1"/>
      <name val="Century Gothic"/>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42">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s>
  <cellStyleXfs count="10">
    <xf numFmtId="0" fontId="0" fillId="0" borderId="0"/>
    <xf numFmtId="0" fontId="2" fillId="0" borderId="0"/>
    <xf numFmtId="0" fontId="1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0" fontId="13" fillId="0" borderId="0"/>
    <xf numFmtId="0" fontId="10" fillId="0" borderId="0"/>
    <xf numFmtId="0" fontId="16" fillId="0" borderId="0"/>
    <xf numFmtId="0" fontId="10" fillId="0" borderId="0"/>
  </cellStyleXfs>
  <cellXfs count="269">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Border="1"/>
    <xf numFmtId="0" fontId="4" fillId="0" borderId="10" xfId="0" applyFont="1" applyBorder="1" applyAlignment="1">
      <alignment horizontal="left" indent="1"/>
    </xf>
    <xf numFmtId="0" fontId="4" fillId="0" borderId="11" xfId="0" applyFont="1" applyBorder="1" applyAlignment="1">
      <alignment horizontal="left" indent="1"/>
    </xf>
    <xf numFmtId="0" fontId="3" fillId="0" borderId="12" xfId="0" applyFont="1" applyBorder="1"/>
    <xf numFmtId="0" fontId="6" fillId="0" borderId="12" xfId="0" applyFont="1" applyBorder="1" applyAlignment="1">
      <alignment horizontal="right"/>
    </xf>
    <xf numFmtId="0" fontId="3" fillId="0" borderId="0" xfId="0" applyFont="1" applyAlignment="1">
      <alignment horizontal="left" indent="1"/>
    </xf>
    <xf numFmtId="0" fontId="7" fillId="3" borderId="17" xfId="0" applyFont="1" applyFill="1" applyBorder="1"/>
    <xf numFmtId="0" fontId="8" fillId="3" borderId="18" xfId="0" applyFont="1" applyFill="1" applyBorder="1"/>
    <xf numFmtId="0" fontId="9" fillId="2" borderId="2" xfId="2" applyFont="1" applyFill="1" applyBorder="1" applyAlignment="1">
      <alignment horizontal="center" vertical="center"/>
    </xf>
    <xf numFmtId="0" fontId="11" fillId="2" borderId="0" xfId="2" applyFont="1" applyFill="1" applyAlignment="1">
      <alignment vertical="center"/>
    </xf>
    <xf numFmtId="0" fontId="11" fillId="2" borderId="14" xfId="2" applyFont="1" applyFill="1" applyBorder="1" applyAlignment="1">
      <alignment vertical="center"/>
    </xf>
    <xf numFmtId="0" fontId="11" fillId="2" borderId="10" xfId="2" applyFont="1" applyFill="1" applyBorder="1" applyAlignment="1">
      <alignment vertical="center"/>
    </xf>
    <xf numFmtId="0" fontId="11" fillId="2" borderId="9" xfId="2" applyFont="1" applyFill="1" applyBorder="1" applyAlignment="1">
      <alignment vertical="center"/>
    </xf>
    <xf numFmtId="0" fontId="12" fillId="2" borderId="8" xfId="2" applyFont="1" applyFill="1" applyBorder="1" applyAlignment="1">
      <alignment vertical="center"/>
    </xf>
    <xf numFmtId="0" fontId="12" fillId="2" borderId="6" xfId="2" applyFont="1" applyFill="1" applyBorder="1" applyAlignment="1">
      <alignment vertical="center"/>
    </xf>
    <xf numFmtId="0" fontId="3" fillId="0" borderId="21" xfId="0" applyFont="1" applyBorder="1"/>
    <xf numFmtId="0" fontId="12" fillId="2" borderId="19" xfId="2" applyFont="1" applyFill="1" applyBorder="1" applyAlignment="1">
      <alignment vertical="center"/>
    </xf>
    <xf numFmtId="0" fontId="12" fillId="2" borderId="20" xfId="2" applyFont="1" applyFill="1" applyBorder="1" applyAlignment="1">
      <alignment vertical="center"/>
    </xf>
    <xf numFmtId="0" fontId="12" fillId="2" borderId="22" xfId="2" applyFont="1" applyFill="1" applyBorder="1" applyAlignment="1">
      <alignment vertical="center"/>
    </xf>
    <xf numFmtId="0" fontId="12" fillId="2" borderId="11" xfId="2" applyFont="1" applyFill="1" applyBorder="1" applyAlignment="1">
      <alignment vertical="center"/>
    </xf>
    <xf numFmtId="0" fontId="9" fillId="2" borderId="3" xfId="2" applyFont="1" applyFill="1" applyBorder="1" applyAlignment="1">
      <alignment horizontal="center" vertical="center"/>
    </xf>
    <xf numFmtId="0" fontId="12" fillId="2" borderId="23" xfId="2" applyFont="1" applyFill="1" applyBorder="1" applyAlignment="1">
      <alignment vertical="center"/>
    </xf>
    <xf numFmtId="0" fontId="12" fillId="2" borderId="24" xfId="2" applyFont="1" applyFill="1" applyBorder="1" applyAlignment="1">
      <alignment vertical="center"/>
    </xf>
    <xf numFmtId="0" fontId="9" fillId="2" borderId="1" xfId="2" applyFont="1" applyFill="1" applyBorder="1" applyAlignment="1">
      <alignment horizontal="center" vertical="center"/>
    </xf>
    <xf numFmtId="0" fontId="8" fillId="3" borderId="0" xfId="0" applyFont="1" applyFill="1" applyBorder="1"/>
    <xf numFmtId="0" fontId="3" fillId="0" borderId="10" xfId="0" applyFont="1" applyBorder="1" applyProtection="1">
      <protection locked="0"/>
    </xf>
    <xf numFmtId="0" fontId="3" fillId="0" borderId="11" xfId="0" applyFont="1" applyBorder="1" applyProtection="1">
      <protection locked="0"/>
    </xf>
    <xf numFmtId="2" fontId="9" fillId="2" borderId="1" xfId="2" quotePrefix="1" applyNumberFormat="1" applyFont="1" applyFill="1" applyBorder="1" applyAlignment="1">
      <alignment horizontal="center" vertical="center"/>
    </xf>
    <xf numFmtId="0" fontId="4" fillId="4" borderId="13" xfId="0" applyFont="1" applyFill="1" applyBorder="1" applyAlignment="1" applyProtection="1">
      <alignment horizontal="center" vertical="center"/>
      <protection locked="0"/>
    </xf>
    <xf numFmtId="0" fontId="15" fillId="0" borderId="0" xfId="0" applyFont="1" applyAlignment="1">
      <alignment horizontal="left" indent="1"/>
    </xf>
    <xf numFmtId="0" fontId="9" fillId="2" borderId="0" xfId="0" quotePrefix="1" applyFont="1" applyFill="1" applyAlignment="1">
      <alignment horizontal="left"/>
    </xf>
    <xf numFmtId="49" fontId="14" fillId="2" borderId="0" xfId="0" applyNumberFormat="1" applyFont="1" applyFill="1" applyAlignment="1">
      <alignment vertical="center"/>
    </xf>
    <xf numFmtId="49" fontId="14" fillId="2" borderId="0" xfId="0" quotePrefix="1" applyNumberFormat="1" applyFont="1" applyFill="1" applyAlignment="1">
      <alignment vertical="center"/>
    </xf>
    <xf numFmtId="0" fontId="0" fillId="0" borderId="0" xfId="0" applyBorder="1"/>
    <xf numFmtId="0" fontId="20" fillId="0" borderId="26" xfId="0" applyFont="1" applyBorder="1" applyAlignment="1">
      <alignment horizontal="center" vertical="center"/>
    </xf>
    <xf numFmtId="0" fontId="0" fillId="0" borderId="26" xfId="0" applyBorder="1" applyAlignment="1">
      <alignment horizontal="center" vertical="center"/>
    </xf>
    <xf numFmtId="0" fontId="0" fillId="0" borderId="26" xfId="0" applyBorder="1"/>
    <xf numFmtId="0" fontId="20" fillId="0" borderId="26" xfId="0" applyFont="1" applyBorder="1" applyAlignment="1">
      <alignment horizontal="center" vertical="top"/>
    </xf>
    <xf numFmtId="0" fontId="0" fillId="0" borderId="0" xfId="0" applyBorder="1" applyAlignment="1">
      <alignment horizontal="left" vertical="top" wrapText="1"/>
    </xf>
    <xf numFmtId="49" fontId="20" fillId="0" borderId="26" xfId="0" applyNumberFormat="1" applyFont="1" applyBorder="1" applyAlignment="1">
      <alignment horizontal="center" vertical="top" wrapText="1"/>
    </xf>
    <xf numFmtId="0" fontId="0" fillId="0" borderId="0" xfId="0" applyBorder="1" applyAlignment="1">
      <alignment horizontal="left" vertical="top"/>
    </xf>
    <xf numFmtId="0" fontId="0" fillId="0" borderId="26" xfId="0" applyBorder="1" applyAlignment="1">
      <alignment horizontal="left" vertical="top" wrapText="1"/>
    </xf>
    <xf numFmtId="49" fontId="20" fillId="0" borderId="26" xfId="0" applyNumberFormat="1" applyFont="1" applyBorder="1" applyAlignment="1">
      <alignment horizontal="left" vertical="top"/>
    </xf>
    <xf numFmtId="0" fontId="0" fillId="0" borderId="27" xfId="0" applyBorder="1"/>
    <xf numFmtId="0" fontId="0" fillId="0" borderId="28" xfId="0" applyBorder="1"/>
    <xf numFmtId="0" fontId="19" fillId="5" borderId="29" xfId="0" applyFont="1" applyFill="1" applyBorder="1" applyAlignment="1">
      <alignment horizontal="center" vertical="center"/>
    </xf>
    <xf numFmtId="0" fontId="18" fillId="3" borderId="0" xfId="0" applyFont="1" applyFill="1" applyBorder="1" applyAlignment="1">
      <alignment horizontal="center" vertical="center"/>
    </xf>
    <xf numFmtId="49" fontId="22" fillId="2" borderId="0" xfId="0" quotePrefix="1" applyNumberFormat="1" applyFont="1" applyFill="1" applyAlignment="1">
      <alignment horizontal="left" vertical="center"/>
    </xf>
    <xf numFmtId="49" fontId="10" fillId="2" borderId="0" xfId="0" applyNumberFormat="1" applyFont="1" applyFill="1" applyAlignment="1">
      <alignment vertical="center"/>
    </xf>
    <xf numFmtId="0" fontId="23" fillId="2" borderId="0" xfId="0" applyFont="1" applyFill="1" applyAlignment="1">
      <alignment horizontal="left" vertical="center"/>
    </xf>
    <xf numFmtId="49" fontId="22" fillId="2" borderId="0" xfId="0" applyNumberFormat="1" applyFont="1" applyFill="1" applyAlignment="1">
      <alignment horizontal="left" vertical="center"/>
    </xf>
    <xf numFmtId="0" fontId="24" fillId="2" borderId="13" xfId="0" applyFont="1" applyFill="1" applyBorder="1" applyAlignment="1">
      <alignment horizontal="center" vertical="center" wrapText="1"/>
    </xf>
    <xf numFmtId="3" fontId="14" fillId="2" borderId="13" xfId="0" applyNumberFormat="1" applyFont="1" applyFill="1" applyBorder="1" applyAlignment="1">
      <alignment horizontal="center" vertical="center"/>
    </xf>
    <xf numFmtId="0" fontId="14" fillId="2" borderId="13" xfId="0" applyFont="1" applyFill="1" applyBorder="1" applyAlignment="1">
      <alignment horizontal="center" vertical="center"/>
    </xf>
    <xf numFmtId="49" fontId="24" fillId="2" borderId="0" xfId="0" applyNumberFormat="1" applyFont="1" applyFill="1" applyAlignment="1">
      <alignment horizontal="center" vertical="center" wrapText="1"/>
    </xf>
    <xf numFmtId="0" fontId="14" fillId="2" borderId="0" xfId="0" applyFont="1" applyFill="1"/>
    <xf numFmtId="0" fontId="14" fillId="2" borderId="0" xfId="0" applyFont="1" applyFill="1" applyAlignment="1">
      <alignment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3" xfId="0" applyNumberFormat="1" applyBorder="1" applyAlignment="1">
      <alignment horizontal="center"/>
    </xf>
    <xf numFmtId="1" fontId="0" fillId="0" borderId="13" xfId="0" applyNumberFormat="1" applyBorder="1" applyAlignment="1">
      <alignment horizontal="center"/>
    </xf>
    <xf numFmtId="0" fontId="10" fillId="0" borderId="0" xfId="0" applyFont="1"/>
    <xf numFmtId="0" fontId="10" fillId="0" borderId="0" xfId="4"/>
    <xf numFmtId="0" fontId="14" fillId="2" borderId="31" xfId="4" applyFont="1" applyFill="1" applyBorder="1" applyAlignment="1">
      <alignment horizontal="center" vertical="center"/>
    </xf>
    <xf numFmtId="49" fontId="24"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0" fontId="28" fillId="3" borderId="0" xfId="0" applyFont="1" applyFill="1"/>
    <xf numFmtId="49" fontId="29" fillId="3" borderId="0" xfId="0" applyNumberFormat="1" applyFont="1" applyFill="1" applyAlignment="1">
      <alignment vertical="center"/>
    </xf>
    <xf numFmtId="0" fontId="29" fillId="3" borderId="0" xfId="0" applyFont="1" applyFill="1" applyAlignment="1">
      <alignment vertical="center"/>
    </xf>
    <xf numFmtId="0" fontId="29" fillId="3" borderId="0" xfId="0" applyFont="1" applyFill="1"/>
    <xf numFmtId="49" fontId="30" fillId="3" borderId="0" xfId="0" applyNumberFormat="1" applyFont="1" applyFill="1" applyAlignment="1">
      <alignment horizontal="left" vertical="center"/>
    </xf>
    <xf numFmtId="49" fontId="31" fillId="3" borderId="0" xfId="0" quotePrefix="1" applyNumberFormat="1" applyFont="1" applyFill="1" applyAlignment="1">
      <alignment horizontal="left" vertical="center"/>
    </xf>
    <xf numFmtId="49" fontId="32" fillId="3" borderId="0" xfId="0" applyNumberFormat="1" applyFont="1" applyFill="1" applyAlignment="1">
      <alignment vertical="center"/>
    </xf>
    <xf numFmtId="0" fontId="0" fillId="0" borderId="14" xfId="0" applyBorder="1"/>
    <xf numFmtId="0" fontId="12" fillId="2" borderId="7" xfId="2" applyFont="1" applyFill="1" applyBorder="1" applyAlignment="1">
      <alignment vertical="center"/>
    </xf>
    <xf numFmtId="0" fontId="9" fillId="2" borderId="6" xfId="2" applyFont="1" applyFill="1" applyBorder="1" applyAlignment="1">
      <alignment horizontal="center" vertical="center"/>
    </xf>
    <xf numFmtId="0" fontId="12" fillId="2" borderId="32" xfId="2" applyFont="1" applyFill="1" applyBorder="1" applyAlignment="1">
      <alignment vertical="center"/>
    </xf>
    <xf numFmtId="0" fontId="12" fillId="2" borderId="10" xfId="2" applyFont="1" applyFill="1" applyBorder="1" applyAlignment="1">
      <alignment vertical="center"/>
    </xf>
    <xf numFmtId="0" fontId="9" fillId="2" borderId="32" xfId="2" applyFont="1" applyFill="1" applyBorder="1" applyAlignment="1">
      <alignment horizontal="center" vertical="center"/>
    </xf>
    <xf numFmtId="0" fontId="0" fillId="0" borderId="13" xfId="0" applyBorder="1" applyAlignment="1">
      <alignment horizontal="center" vertical="center" wrapText="1"/>
    </xf>
    <xf numFmtId="0" fontId="12" fillId="2" borderId="35" xfId="2" applyFont="1" applyFill="1" applyBorder="1" applyAlignment="1">
      <alignment vertical="center"/>
    </xf>
    <xf numFmtId="2" fontId="9" fillId="2" borderId="34" xfId="2" quotePrefix="1" applyNumberFormat="1" applyFont="1" applyFill="1" applyBorder="1" applyAlignment="1">
      <alignment horizontal="center" vertical="center"/>
    </xf>
    <xf numFmtId="0" fontId="0" fillId="0" borderId="0" xfId="0" applyAlignment="1">
      <alignment horizontal="center"/>
    </xf>
    <xf numFmtId="0" fontId="37" fillId="0" borderId="0" xfId="0" applyFont="1"/>
    <xf numFmtId="0" fontId="39" fillId="0" borderId="0" xfId="0" applyFont="1" applyAlignment="1">
      <alignment horizontal="left" indent="1"/>
    </xf>
    <xf numFmtId="0" fontId="38" fillId="0" borderId="0" xfId="0" applyFont="1"/>
    <xf numFmtId="0" fontId="40" fillId="0" borderId="0" xfId="0" applyFont="1"/>
    <xf numFmtId="0" fontId="37" fillId="0" borderId="0" xfId="0" quotePrefix="1" applyFont="1" applyAlignment="1">
      <alignment horizontal="left" indent="1"/>
    </xf>
    <xf numFmtId="0" fontId="37" fillId="0" borderId="0" xfId="0" applyFont="1" applyAlignment="1">
      <alignment horizontal="left" indent="1"/>
    </xf>
    <xf numFmtId="0" fontId="42" fillId="0" borderId="0" xfId="0" applyFont="1"/>
    <xf numFmtId="0" fontId="44" fillId="0" borderId="0" xfId="0" applyFont="1" applyBorder="1" applyAlignment="1">
      <alignment horizontal="center" vertical="top"/>
    </xf>
    <xf numFmtId="1" fontId="44" fillId="0" borderId="0" xfId="0" applyNumberFormat="1" applyFont="1" applyBorder="1" applyAlignment="1">
      <alignment horizontal="center" vertical="top"/>
    </xf>
    <xf numFmtId="164" fontId="44" fillId="0" borderId="0" xfId="0" applyNumberFormat="1" applyFont="1" applyBorder="1" applyAlignment="1">
      <alignment horizontal="center" vertical="top"/>
    </xf>
    <xf numFmtId="0" fontId="42" fillId="0" borderId="0" xfId="0" applyFont="1" applyBorder="1" applyAlignment="1">
      <alignment horizontal="center" vertical="top"/>
    </xf>
    <xf numFmtId="0" fontId="10" fillId="0" borderId="0" xfId="4" applyFill="1" applyBorder="1" applyAlignment="1">
      <alignment wrapText="1"/>
    </xf>
    <xf numFmtId="0" fontId="0" fillId="0" borderId="0" xfId="0" applyFill="1" applyBorder="1" applyAlignment="1">
      <alignment wrapText="1"/>
    </xf>
    <xf numFmtId="0" fontId="27" fillId="0" borderId="0"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33" fillId="0" borderId="0" xfId="4" applyFont="1" applyFill="1" applyBorder="1" applyAlignment="1">
      <alignment vertical="center" wrapText="1"/>
    </xf>
    <xf numFmtId="0" fontId="20" fillId="5" borderId="0" xfId="0" applyFont="1" applyFill="1"/>
    <xf numFmtId="0" fontId="24" fillId="5" borderId="0" xfId="4" applyNumberFormat="1" applyFont="1" applyFill="1" applyBorder="1" applyAlignment="1">
      <alignment horizontal="center" vertical="center"/>
    </xf>
    <xf numFmtId="0" fontId="26" fillId="2" borderId="31" xfId="4" applyFont="1" applyFill="1" applyBorder="1" applyAlignment="1">
      <alignment horizontal="center" vertical="center"/>
    </xf>
    <xf numFmtId="0" fontId="12" fillId="2" borderId="0" xfId="4" applyFont="1" applyFill="1" applyBorder="1" applyAlignment="1">
      <alignment horizontal="center" vertical="center"/>
    </xf>
    <xf numFmtId="0" fontId="37" fillId="0" borderId="0" xfId="0" applyFont="1" applyBorder="1"/>
    <xf numFmtId="0" fontId="37" fillId="0" borderId="0" xfId="0" applyFont="1" applyBorder="1" applyAlignment="1">
      <alignment horizontal="left" indent="1"/>
    </xf>
    <xf numFmtId="0" fontId="12" fillId="0" borderId="0" xfId="4" applyFont="1" applyBorder="1" applyAlignment="1">
      <alignment horizontal="center" vertical="center"/>
    </xf>
    <xf numFmtId="0" fontId="37" fillId="0" borderId="21" xfId="0" applyFont="1" applyBorder="1"/>
    <xf numFmtId="0" fontId="37" fillId="0" borderId="21" xfId="0" applyFont="1" applyBorder="1" applyAlignment="1">
      <alignment horizontal="left" indent="1"/>
    </xf>
    <xf numFmtId="0" fontId="37" fillId="0" borderId="36" xfId="0" applyFont="1" applyBorder="1"/>
    <xf numFmtId="0" fontId="37" fillId="0" borderId="37" xfId="0" applyFont="1" applyBorder="1"/>
    <xf numFmtId="0" fontId="37" fillId="0" borderId="26" xfId="0" applyFont="1" applyBorder="1"/>
    <xf numFmtId="0" fontId="37" fillId="0" borderId="14" xfId="0" applyFont="1" applyBorder="1"/>
    <xf numFmtId="0" fontId="9" fillId="2" borderId="26" xfId="0" quotePrefix="1" applyFont="1" applyFill="1" applyBorder="1" applyAlignment="1">
      <alignment horizontal="left"/>
    </xf>
    <xf numFmtId="0" fontId="42" fillId="0" borderId="26" xfId="0" applyFont="1" applyBorder="1"/>
    <xf numFmtId="49" fontId="43" fillId="3" borderId="0" xfId="0" applyNumberFormat="1" applyFont="1" applyFill="1" applyBorder="1" applyAlignment="1">
      <alignment horizontal="left" vertical="center"/>
    </xf>
    <xf numFmtId="49" fontId="21" fillId="3" borderId="0" xfId="0" applyNumberFormat="1" applyFont="1" applyFill="1" applyBorder="1" applyAlignment="1">
      <alignment vertical="center"/>
    </xf>
    <xf numFmtId="49" fontId="21" fillId="0" borderId="0" xfId="0" quotePrefix="1" applyNumberFormat="1" applyFont="1" applyFill="1" applyBorder="1" applyAlignment="1">
      <alignment vertical="center"/>
    </xf>
    <xf numFmtId="49" fontId="21" fillId="0" borderId="0" xfId="0" applyNumberFormat="1" applyFont="1" applyFill="1" applyBorder="1" applyAlignment="1">
      <alignment vertical="center"/>
    </xf>
    <xf numFmtId="0" fontId="39" fillId="0" borderId="0" xfId="0" applyFont="1" applyBorder="1" applyAlignment="1">
      <alignment horizontal="center" vertical="center"/>
    </xf>
    <xf numFmtId="0" fontId="39" fillId="0" borderId="0" xfId="0" applyFont="1" applyBorder="1" applyAlignment="1">
      <alignment horizontal="left" indent="1"/>
    </xf>
    <xf numFmtId="0" fontId="3" fillId="0" borderId="36" xfId="0" applyFont="1" applyBorder="1"/>
    <xf numFmtId="0" fontId="3" fillId="0" borderId="37" xfId="0" applyFont="1" applyBorder="1"/>
    <xf numFmtId="0" fontId="3" fillId="0" borderId="26" xfId="0" applyFont="1" applyBorder="1"/>
    <xf numFmtId="0" fontId="21" fillId="3" borderId="0" xfId="0" applyFont="1" applyFill="1" applyBorder="1"/>
    <xf numFmtId="0" fontId="21" fillId="3" borderId="0" xfId="0" applyFont="1" applyFill="1" applyBorder="1" applyAlignment="1">
      <alignment vertical="center"/>
    </xf>
    <xf numFmtId="0" fontId="3" fillId="0" borderId="14" xfId="0" applyFont="1" applyBorder="1"/>
    <xf numFmtId="0" fontId="3" fillId="0" borderId="0" xfId="0" applyFont="1" applyFill="1" applyBorder="1"/>
    <xf numFmtId="0" fontId="37" fillId="0" borderId="0" xfId="0" applyFont="1" applyFill="1" applyBorder="1"/>
    <xf numFmtId="0" fontId="37" fillId="0" borderId="0" xfId="0" applyFont="1" applyFill="1" applyBorder="1" applyAlignment="1">
      <alignment horizontal="center" vertical="center"/>
    </xf>
    <xf numFmtId="0" fontId="37" fillId="0" borderId="0" xfId="0" applyFont="1" applyFill="1" applyBorder="1" applyAlignment="1">
      <alignment horizontal="left" indent="1"/>
    </xf>
    <xf numFmtId="0" fontId="40" fillId="0" borderId="0" xfId="0" applyFont="1" applyFill="1" applyBorder="1"/>
    <xf numFmtId="0" fontId="40" fillId="0" borderId="0" xfId="0" applyFont="1" applyFill="1" applyBorder="1" applyAlignment="1"/>
    <xf numFmtId="0" fontId="46" fillId="0" borderId="0" xfId="0" applyFont="1" applyAlignment="1">
      <alignment horizontal="right"/>
    </xf>
    <xf numFmtId="0" fontId="6" fillId="0" borderId="12" xfId="0" applyFont="1" applyBorder="1"/>
    <xf numFmtId="0" fontId="9" fillId="2" borderId="15" xfId="2" applyFont="1" applyFill="1" applyBorder="1" applyAlignment="1">
      <alignment horizontal="center" vertical="center"/>
    </xf>
    <xf numFmtId="0" fontId="9" fillId="2" borderId="25" xfId="2" applyFont="1" applyFill="1" applyBorder="1" applyAlignment="1">
      <alignment horizontal="center" vertical="center"/>
    </xf>
    <xf numFmtId="2" fontId="9" fillId="2" borderId="15" xfId="2" quotePrefix="1" applyNumberFormat="1" applyFont="1" applyFill="1" applyBorder="1" applyAlignment="1">
      <alignment horizontal="center" vertical="center"/>
    </xf>
    <xf numFmtId="2" fontId="9" fillId="2" borderId="27" xfId="2" quotePrefix="1" applyNumberFormat="1" applyFont="1" applyFill="1" applyBorder="1" applyAlignment="1">
      <alignment horizontal="center" vertical="center"/>
    </xf>
    <xf numFmtId="0" fontId="9" fillId="2" borderId="16"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33" xfId="2" applyFont="1" applyFill="1" applyBorder="1" applyAlignment="1">
      <alignment horizontal="center" vertical="center"/>
    </xf>
    <xf numFmtId="0" fontId="0" fillId="0" borderId="0" xfId="0" applyBorder="1" applyAlignment="1">
      <alignment horizontal="left" vertical="top" wrapText="1"/>
    </xf>
    <xf numFmtId="0" fontId="0" fillId="0" borderId="13" xfId="0" applyBorder="1" applyAlignment="1">
      <alignment horizontal="center" vertical="center" wrapText="1"/>
    </xf>
    <xf numFmtId="0" fontId="5" fillId="5" borderId="13" xfId="0" applyFont="1" applyFill="1" applyBorder="1" applyAlignment="1">
      <alignment horizontal="center" vertical="center"/>
    </xf>
    <xf numFmtId="0" fontId="0" fillId="0" borderId="0" xfId="0" applyBorder="1" applyAlignment="1">
      <alignment vertical="top" wrapText="1"/>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Fill="1" applyBorder="1"/>
    <xf numFmtId="0" fontId="18" fillId="0" borderId="0" xfId="0" applyFont="1" applyFill="1" applyBorder="1" applyAlignment="1">
      <alignment vertical="center"/>
    </xf>
    <xf numFmtId="49" fontId="18" fillId="0" borderId="0" xfId="0" applyNumberFormat="1"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20" fillId="0" borderId="0" xfId="0" applyFont="1" applyFill="1" applyBorder="1" applyAlignment="1">
      <alignment vertical="top" wrapText="1"/>
    </xf>
    <xf numFmtId="49" fontId="20" fillId="0" borderId="0" xfId="0" applyNumberFormat="1" applyFont="1" applyFill="1" applyBorder="1" applyAlignment="1">
      <alignment horizontal="center" vertical="top" wrapText="1"/>
    </xf>
    <xf numFmtId="49" fontId="20" fillId="0" borderId="0" xfId="0" applyNumberFormat="1" applyFont="1" applyFill="1" applyBorder="1" applyAlignment="1">
      <alignment horizontal="left" vertical="top"/>
    </xf>
    <xf numFmtId="0" fontId="0" fillId="0" borderId="0" xfId="0" applyFill="1" applyBorder="1" applyAlignment="1">
      <alignment horizontal="center" vertical="center"/>
    </xf>
    <xf numFmtId="49" fontId="20" fillId="0" borderId="26" xfId="0" applyNumberFormat="1" applyFont="1" applyBorder="1" applyAlignment="1">
      <alignment vertical="top" wrapText="1"/>
    </xf>
    <xf numFmtId="0" fontId="39" fillId="0" borderId="0" xfId="0" applyFont="1" applyFill="1" applyBorder="1" applyAlignment="1">
      <alignment vertical="center"/>
    </xf>
    <xf numFmtId="0" fontId="3" fillId="0" borderId="0" xfId="0" applyFont="1" applyFill="1" applyBorder="1" applyAlignment="1">
      <alignment horizontal="center"/>
    </xf>
    <xf numFmtId="0" fontId="47" fillId="0" borderId="0" xfId="0" applyFont="1" applyFill="1" applyBorder="1" applyAlignment="1">
      <alignment vertical="center"/>
    </xf>
    <xf numFmtId="0" fontId="45"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37" fillId="0" borderId="0" xfId="0" applyFont="1" applyFill="1" applyBorder="1" applyAlignment="1"/>
    <xf numFmtId="0" fontId="3" fillId="0" borderId="0" xfId="0" applyFont="1" applyFill="1" applyBorder="1" applyAlignment="1"/>
    <xf numFmtId="0" fontId="10" fillId="0" borderId="0" xfId="4" applyFill="1" applyBorder="1"/>
    <xf numFmtId="0" fontId="27" fillId="0" borderId="0" xfId="4" applyFont="1" applyFill="1" applyBorder="1" applyAlignment="1">
      <alignment horizontal="center" vertical="center"/>
    </xf>
    <xf numFmtId="0" fontId="24" fillId="0" borderId="0" xfId="4" applyFont="1" applyFill="1" applyBorder="1" applyAlignment="1">
      <alignment horizontal="center" vertical="center"/>
    </xf>
    <xf numFmtId="2" fontId="24" fillId="0" borderId="0" xfId="4" applyNumberFormat="1" applyFont="1" applyFill="1" applyBorder="1" applyAlignment="1">
      <alignment horizontal="center" vertical="center"/>
    </xf>
    <xf numFmtId="0" fontId="14" fillId="0" borderId="0" xfId="4" applyFont="1" applyFill="1" applyBorder="1" applyAlignment="1">
      <alignment horizontal="center" vertical="center"/>
    </xf>
    <xf numFmtId="49" fontId="14" fillId="0" borderId="0" xfId="4" applyNumberFormat="1" applyFont="1" applyFill="1" applyBorder="1" applyAlignment="1">
      <alignment horizontal="center" vertical="center"/>
    </xf>
    <xf numFmtId="0" fontId="24" fillId="0" borderId="0" xfId="4" applyFont="1" applyFill="1" applyBorder="1" applyAlignment="1">
      <alignment vertical="center"/>
    </xf>
    <xf numFmtId="0" fontId="14"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26" fillId="0" borderId="0" xfId="4" applyFont="1" applyFill="1" applyBorder="1" applyAlignment="1">
      <alignment horizontal="center" vertical="center"/>
    </xf>
    <xf numFmtId="0" fontId="24"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35" fillId="0" borderId="0" xfId="0" applyFont="1" applyFill="1" applyBorder="1" applyAlignment="1">
      <alignment vertical="center" wrapText="1"/>
    </xf>
    <xf numFmtId="0" fontId="9" fillId="2" borderId="0" xfId="9" applyFont="1" applyFill="1" applyAlignment="1">
      <alignment horizontal="left"/>
    </xf>
    <xf numFmtId="0" fontId="9" fillId="2" borderId="0" xfId="9" applyFont="1" applyFill="1" applyAlignment="1">
      <alignment horizontal="center"/>
    </xf>
    <xf numFmtId="0" fontId="9" fillId="6" borderId="0" xfId="9" applyFont="1" applyFill="1" applyAlignment="1">
      <alignment horizontal="center"/>
    </xf>
    <xf numFmtId="0" fontId="9" fillId="6" borderId="0" xfId="9" applyFont="1" applyFill="1"/>
    <xf numFmtId="0" fontId="10" fillId="6" borderId="0" xfId="9" applyFill="1" applyAlignment="1">
      <alignment vertical="top" wrapText="1"/>
    </xf>
    <xf numFmtId="0" fontId="37" fillId="0" borderId="0" xfId="0" applyFont="1" applyBorder="1" applyAlignment="1"/>
    <xf numFmtId="0" fontId="49" fillId="0" borderId="0" xfId="0" applyFont="1"/>
    <xf numFmtId="49" fontId="14" fillId="2" borderId="0" xfId="0" applyNumberFormat="1" applyFont="1" applyFill="1" applyBorder="1" applyAlignment="1">
      <alignment vertical="center"/>
    </xf>
    <xf numFmtId="49" fontId="14" fillId="2" borderId="26" xfId="0" applyNumberFormat="1" applyFont="1" applyFill="1" applyBorder="1" applyAlignment="1">
      <alignment vertical="center"/>
    </xf>
    <xf numFmtId="49" fontId="14" fillId="2" borderId="32" xfId="0" applyNumberFormat="1" applyFont="1" applyFill="1" applyBorder="1" applyAlignment="1">
      <alignment vertical="center"/>
    </xf>
    <xf numFmtId="49" fontId="9" fillId="2" borderId="10" xfId="0" quotePrefix="1" applyNumberFormat="1" applyFont="1" applyFill="1" applyBorder="1" applyAlignment="1">
      <alignment vertical="center"/>
    </xf>
    <xf numFmtId="49" fontId="14" fillId="2" borderId="10" xfId="0" quotePrefix="1" applyNumberFormat="1" applyFont="1" applyFill="1" applyBorder="1" applyAlignment="1">
      <alignment vertical="center"/>
    </xf>
    <xf numFmtId="0" fontId="1" fillId="0" borderId="13" xfId="0" applyFont="1" applyBorder="1" applyAlignment="1">
      <alignment horizontal="center" vertical="center"/>
    </xf>
    <xf numFmtId="0" fontId="0" fillId="0" borderId="13" xfId="0" applyFont="1" applyBorder="1" applyAlignment="1">
      <alignment horizontal="center" vertical="center"/>
    </xf>
    <xf numFmtId="0" fontId="24" fillId="2" borderId="13" xfId="0" applyNumberFormat="1" applyFont="1" applyFill="1" applyBorder="1" applyAlignment="1">
      <alignment horizontal="center" vertical="center" wrapText="1"/>
    </xf>
    <xf numFmtId="0" fontId="14" fillId="2" borderId="13" xfId="0" applyNumberFormat="1" applyFont="1" applyFill="1" applyBorder="1" applyAlignment="1">
      <alignment horizontal="center" vertical="center"/>
    </xf>
    <xf numFmtId="0" fontId="24" fillId="2" borderId="0" xfId="4" applyFont="1" applyFill="1" applyBorder="1" applyAlignment="1">
      <alignment horizontal="center" vertical="center"/>
    </xf>
    <xf numFmtId="0" fontId="49" fillId="0" borderId="14" xfId="0" applyFont="1" applyBorder="1"/>
    <xf numFmtId="0" fontId="49" fillId="0" borderId="26" xfId="0" applyFont="1" applyBorder="1"/>
    <xf numFmtId="0" fontId="14" fillId="2" borderId="0" xfId="4" applyFont="1" applyFill="1" applyBorder="1" applyAlignment="1">
      <alignment horizontal="center" vertical="center"/>
    </xf>
    <xf numFmtId="0" fontId="49" fillId="0" borderId="0" xfId="0" applyFont="1" applyFill="1"/>
    <xf numFmtId="0" fontId="49" fillId="0" borderId="26" xfId="0" applyFont="1" applyFill="1" applyBorder="1"/>
    <xf numFmtId="0" fontId="50" fillId="0" borderId="0" xfId="0" applyFont="1" applyFill="1" applyBorder="1" applyAlignment="1">
      <alignment horizontal="center" vertical="center"/>
    </xf>
    <xf numFmtId="0" fontId="51" fillId="0" borderId="0" xfId="0" applyFont="1" applyBorder="1" applyAlignment="1">
      <alignment vertical="center"/>
    </xf>
    <xf numFmtId="0" fontId="52" fillId="0" borderId="0" xfId="0" applyFont="1" applyBorder="1" applyAlignment="1">
      <alignment vertical="center" wrapText="1"/>
    </xf>
    <xf numFmtId="0" fontId="52" fillId="0" borderId="0" xfId="0" applyFont="1" applyBorder="1" applyAlignment="1">
      <alignment horizontal="center" vertical="top" wrapText="1"/>
    </xf>
    <xf numFmtId="0" fontId="52" fillId="0" borderId="0" xfId="0" applyFont="1" applyBorder="1" applyAlignment="1">
      <alignment horizontal="center" vertical="top"/>
    </xf>
    <xf numFmtId="1" fontId="52" fillId="0" borderId="0" xfId="0" applyNumberFormat="1" applyFont="1" applyBorder="1" applyAlignment="1">
      <alignment horizontal="center" vertical="top"/>
    </xf>
    <xf numFmtId="164" fontId="52" fillId="0" borderId="0" xfId="0" applyNumberFormat="1" applyFont="1" applyBorder="1" applyAlignment="1">
      <alignment horizontal="center" vertical="top"/>
    </xf>
    <xf numFmtId="0" fontId="49" fillId="0" borderId="0" xfId="0" applyFont="1" applyBorder="1"/>
    <xf numFmtId="0" fontId="52" fillId="0" borderId="0" xfId="0" applyFont="1" applyBorder="1" applyAlignment="1">
      <alignment vertical="center"/>
    </xf>
    <xf numFmtId="0" fontId="53" fillId="0" borderId="0" xfId="0" applyFont="1" applyBorder="1" applyAlignment="1">
      <alignment horizontal="center" vertical="top"/>
    </xf>
    <xf numFmtId="0" fontId="52" fillId="0" borderId="0" xfId="0" applyFont="1" applyFill="1" applyBorder="1" applyAlignment="1">
      <alignment horizontal="center" vertical="top"/>
    </xf>
    <xf numFmtId="1" fontId="52" fillId="0" borderId="0" xfId="0" applyNumberFormat="1" applyFont="1" applyFill="1" applyBorder="1" applyAlignment="1">
      <alignment horizontal="center" vertical="top"/>
    </xf>
    <xf numFmtId="164" fontId="52" fillId="0" borderId="0" xfId="0" applyNumberFormat="1" applyFont="1" applyFill="1" applyBorder="1" applyAlignment="1">
      <alignment horizontal="center" vertical="top"/>
    </xf>
    <xf numFmtId="0" fontId="54" fillId="0" borderId="0" xfId="0" applyFont="1" applyBorder="1" applyAlignment="1">
      <alignment horizontal="center" vertical="top"/>
    </xf>
    <xf numFmtId="0" fontId="49" fillId="0" borderId="0" xfId="0" quotePrefix="1" applyFont="1" applyBorder="1" applyAlignment="1"/>
    <xf numFmtId="0" fontId="49" fillId="0" borderId="0" xfId="0" applyFont="1" applyBorder="1" applyAlignment="1"/>
    <xf numFmtId="0" fontId="52" fillId="0" borderId="26" xfId="0" applyFont="1" applyBorder="1" applyAlignment="1">
      <alignment vertical="center" wrapText="1"/>
    </xf>
    <xf numFmtId="0" fontId="55" fillId="0" borderId="0" xfId="0" applyFont="1" applyBorder="1" applyAlignment="1">
      <alignment vertical="center" wrapText="1"/>
    </xf>
    <xf numFmtId="0" fontId="49" fillId="0" borderId="10" xfId="0" applyFont="1" applyBorder="1"/>
    <xf numFmtId="0" fontId="49" fillId="0" borderId="9" xfId="0" applyFont="1" applyBorder="1"/>
    <xf numFmtId="0" fontId="49" fillId="0" borderId="0" xfId="0" applyFont="1" applyFill="1" applyBorder="1"/>
    <xf numFmtId="0" fontId="49" fillId="0" borderId="32" xfId="0" applyFont="1" applyBorder="1"/>
    <xf numFmtId="0" fontId="7" fillId="3" borderId="6" xfId="0" applyFont="1" applyFill="1" applyBorder="1" applyAlignment="1">
      <alignment horizontal="center"/>
    </xf>
    <xf numFmtId="0" fontId="7" fillId="3" borderId="11" xfId="0" applyFont="1" applyFill="1" applyBorder="1" applyAlignment="1">
      <alignment horizontal="center"/>
    </xf>
    <xf numFmtId="0" fontId="7" fillId="3" borderId="7" xfId="0" applyFont="1" applyFill="1" applyBorder="1" applyAlignment="1">
      <alignment horizontal="center"/>
    </xf>
    <xf numFmtId="0" fontId="12" fillId="2" borderId="4"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4" fillId="0" borderId="0" xfId="0" applyFont="1" applyAlignment="1">
      <alignment horizontal="center"/>
    </xf>
    <xf numFmtId="0" fontId="14" fillId="2" borderId="0" xfId="4" applyFont="1" applyFill="1" applyBorder="1" applyAlignment="1">
      <alignment horizontal="center" vertical="center"/>
    </xf>
    <xf numFmtId="0" fontId="50"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0" fontId="41" fillId="3" borderId="26" xfId="4" applyFont="1" applyFill="1" applyBorder="1" applyAlignment="1">
      <alignment horizontal="center" vertical="center" wrapText="1"/>
    </xf>
    <xf numFmtId="0" fontId="41" fillId="3" borderId="0" xfId="4" applyFont="1" applyFill="1" applyBorder="1" applyAlignment="1">
      <alignment horizontal="center" vertical="center" wrapText="1"/>
    </xf>
    <xf numFmtId="0" fontId="24" fillId="2" borderId="0" xfId="4" applyFont="1" applyFill="1" applyBorder="1" applyAlignment="1">
      <alignment horizontal="center" vertical="center" wrapText="1"/>
    </xf>
    <xf numFmtId="0" fontId="19" fillId="5" borderId="28" xfId="0" applyFont="1" applyFill="1" applyBorder="1" applyAlignment="1">
      <alignment horizontal="center" vertical="center"/>
    </xf>
    <xf numFmtId="0" fontId="19" fillId="5" borderId="30" xfId="0" applyFont="1" applyFill="1" applyBorder="1" applyAlignment="1">
      <alignment horizontal="center" vertical="center"/>
    </xf>
    <xf numFmtId="0" fontId="18" fillId="3" borderId="0" xfId="0" applyFont="1" applyFill="1" applyAlignment="1">
      <alignment horizontal="center" vertical="center"/>
    </xf>
    <xf numFmtId="49" fontId="18" fillId="3" borderId="0" xfId="0" applyNumberFormat="1" applyFont="1" applyFill="1" applyAlignment="1">
      <alignment horizontal="center" vertical="center"/>
    </xf>
    <xf numFmtId="0" fontId="19" fillId="5" borderId="0" xfId="0" applyFont="1" applyFill="1" applyAlignment="1">
      <alignment horizontal="center" vertical="center"/>
    </xf>
    <xf numFmtId="0" fontId="19" fillId="5" borderId="0" xfId="0" applyFont="1" applyFill="1" applyBorder="1" applyAlignment="1">
      <alignment horizontal="center" vertical="center"/>
    </xf>
    <xf numFmtId="0" fontId="24" fillId="0" borderId="0" xfId="4" applyFont="1" applyFill="1" applyBorder="1" applyAlignment="1">
      <alignment horizontal="center" vertical="center"/>
    </xf>
    <xf numFmtId="0" fontId="24" fillId="2" borderId="38" xfId="4" applyFont="1" applyFill="1" applyBorder="1" applyAlignment="1">
      <alignment horizontal="center" vertical="center"/>
    </xf>
    <xf numFmtId="0" fontId="24" fillId="2" borderId="39" xfId="4" applyFont="1" applyFill="1" applyBorder="1" applyAlignment="1">
      <alignment horizontal="center" vertical="center"/>
    </xf>
    <xf numFmtId="0" fontId="24" fillId="2" borderId="40" xfId="4" applyFont="1" applyFill="1" applyBorder="1" applyAlignment="1">
      <alignment horizontal="center" vertical="center"/>
    </xf>
    <xf numFmtId="0" fontId="33" fillId="0" borderId="0" xfId="4" applyFont="1" applyFill="1" applyBorder="1" applyAlignment="1">
      <alignment horizontal="center" vertical="center" wrapText="1"/>
    </xf>
    <xf numFmtId="1" fontId="14" fillId="2" borderId="6" xfId="0" applyNumberFormat="1" applyFont="1" applyFill="1" applyBorder="1" applyAlignment="1">
      <alignment horizontal="center" vertical="center"/>
    </xf>
    <xf numFmtId="1" fontId="14" fillId="2" borderId="7" xfId="0" applyNumberFormat="1" applyFont="1" applyFill="1" applyBorder="1" applyAlignment="1">
      <alignment horizontal="center" vertical="center"/>
    </xf>
    <xf numFmtId="49" fontId="24" fillId="5" borderId="6" xfId="0" applyNumberFormat="1" applyFont="1" applyFill="1" applyBorder="1" applyAlignment="1">
      <alignment horizontal="center" vertical="center"/>
    </xf>
    <xf numFmtId="49" fontId="24" fillId="5" borderId="7"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164" fontId="14" fillId="2" borderId="7" xfId="0" applyNumberFormat="1" applyFont="1" applyFill="1"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5" fillId="5" borderId="13" xfId="0" applyFont="1" applyFill="1" applyBorder="1" applyAlignment="1">
      <alignment horizontal="center" vertical="center" wrapText="1"/>
    </xf>
    <xf numFmtId="0" fontId="5" fillId="5" borderId="13" xfId="0" applyFont="1" applyFill="1" applyBorder="1" applyAlignment="1">
      <alignment horizontal="center" vertical="center"/>
    </xf>
    <xf numFmtId="49" fontId="24" fillId="5" borderId="13" xfId="0" applyNumberFormat="1" applyFont="1" applyFill="1" applyBorder="1" applyAlignment="1">
      <alignment horizontal="center" vertical="center" wrapText="1"/>
    </xf>
  </cellXfs>
  <cellStyles count="10">
    <cellStyle name="Comma 2" xfId="3" xr:uid="{00000000-0005-0000-0000-000000000000}"/>
    <cellStyle name="Currency 2" xfId="5" xr:uid="{00000000-0005-0000-0000-000001000000}"/>
    <cellStyle name="Normal" xfId="0" builtinId="0"/>
    <cellStyle name="Normal 15 2" xfId="9" xr:uid="{9FB24D5F-2D20-47E3-9AC6-8282DD9C50C6}"/>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3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70</xdr:row>
      <xdr:rowOff>5414</xdr:rowOff>
    </xdr:from>
    <xdr:to>
      <xdr:col>6</xdr:col>
      <xdr:colOff>870238</xdr:colOff>
      <xdr:row>71</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6</xdr:col>
      <xdr:colOff>1138647</xdr:colOff>
      <xdr:row>64</xdr:row>
      <xdr:rowOff>77605</xdr:rowOff>
    </xdr:from>
    <xdr:to>
      <xdr:col>7</xdr:col>
      <xdr:colOff>669443</xdr:colOff>
      <xdr:row>66</xdr:row>
      <xdr:rowOff>43926</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7301322" y="11240905"/>
          <a:ext cx="911921" cy="290171"/>
        </a:xfrm>
        <a:prstGeom prst="rect">
          <a:avLst/>
        </a:prstGeom>
        <a:noFill/>
        <a:ln w="9525">
          <a:noFill/>
          <a:miter lim="800000"/>
          <a:headEnd/>
          <a:tailEnd/>
        </a:ln>
      </xdr:spPr>
    </xdr:pic>
    <xdr:clientData/>
  </xdr:twoCellAnchor>
  <xdr:oneCellAnchor>
    <xdr:from>
      <xdr:col>0</xdr:col>
      <xdr:colOff>0</xdr:colOff>
      <xdr:row>11</xdr:row>
      <xdr:rowOff>37233</xdr:rowOff>
    </xdr:from>
    <xdr:ext cx="5507182" cy="165821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313708"/>
          <a:ext cx="5507182" cy="1658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Standard footprint for installation in manufactured homes.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Compatible with 2-5 Ton AC or HP systems.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Factory configured for downflow, field convertible for up-flow.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Perfectly matches with ADP manufactured housing coils.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Meets UL 60335-2-40 product requirements. </a:t>
          </a:r>
        </a:p>
        <a:p>
          <a:pPr marL="171450" indent="-171450" eaLnBrk="1" fontAlgn="auto" latinLnBrk="0" hangingPunct="1">
            <a:buFont typeface="Arial" panose="020B0604020202020204" pitchFamily="34" charset="0"/>
            <a:buChar char="•"/>
          </a:pPr>
          <a:r>
            <a:rPr lang="en-US" sz="1100">
              <a:effectLst/>
            </a:rPr>
            <a:t>Blower panel with handle and push-to-lock feature for easy access. </a:t>
          </a:r>
        </a:p>
        <a:p>
          <a:pPr marL="171450" indent="-171450" eaLnBrk="1" fontAlgn="auto" latinLnBrk="0" hangingPunct="1">
            <a:buFont typeface="Arial" panose="020B0604020202020204" pitchFamily="34" charset="0"/>
            <a:buChar char="•"/>
          </a:pPr>
          <a:r>
            <a:rPr lang="en-US" sz="1100">
              <a:effectLst/>
            </a:rPr>
            <a:t>Cabinet and door lined with high quality 5/8" foil faced insulation for quiet operation. </a:t>
          </a:r>
        </a:p>
        <a:p>
          <a:pPr marL="171450" indent="-171450" eaLnBrk="1" fontAlgn="auto" latinLnBrk="0" hangingPunct="1">
            <a:buFont typeface="Arial" panose="020B0604020202020204" pitchFamily="34" charset="0"/>
            <a:buChar char="•"/>
          </a:pPr>
          <a:r>
            <a:rPr lang="en-US" sz="1100">
              <a:effectLst/>
            </a:rPr>
            <a:t>Cabinet constructed of heavy-gauge, corrosion-resistant galvanized steel. </a:t>
          </a:r>
        </a:p>
        <a:p>
          <a:pPr marL="171450" indent="-171450" eaLnBrk="1" fontAlgn="auto" latinLnBrk="0" hangingPunct="1">
            <a:buFont typeface="Arial" panose="020B0604020202020204" pitchFamily="34" charset="0"/>
            <a:buChar char="•"/>
          </a:pPr>
          <a:r>
            <a:rPr lang="en-US" sz="1100">
              <a:effectLst/>
            </a:rPr>
            <a:t>Slide-out blower assemblies for easy access to blower motor. </a:t>
          </a:r>
        </a:p>
      </xdr:txBody>
    </xdr:sp>
    <xdr:clientData/>
  </xdr:oneCellAnchor>
  <xdr:oneCellAnchor>
    <xdr:from>
      <xdr:col>0</xdr:col>
      <xdr:colOff>0</xdr:colOff>
      <xdr:row>24</xdr:row>
      <xdr:rowOff>129886</xdr:rowOff>
    </xdr:from>
    <xdr:ext cx="5074227" cy="7706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0" y="4450772"/>
          <a:ext cx="5074227" cy="770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Multiple coil cabinet and filter grille options available.</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Electric heat available factory or field installed for 208/240 V models.</a:t>
          </a:r>
        </a:p>
      </xdr:txBody>
    </xdr:sp>
    <xdr:clientData/>
  </xdr:oneCellAnchor>
  <xdr:oneCellAnchor>
    <xdr:from>
      <xdr:col>0</xdr:col>
      <xdr:colOff>0</xdr:colOff>
      <xdr:row>21</xdr:row>
      <xdr:rowOff>89189</xdr:rowOff>
    </xdr:from>
    <xdr:ext cx="5074227" cy="42896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137314"/>
          <a:ext cx="5074227" cy="428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10-year limited warranty available.</a:t>
          </a:r>
        </a:p>
        <a:p>
          <a:pPr marL="171450" indent="-171450" eaLnBrk="1" fontAlgn="auto" latinLnBrk="0" hangingPunct="1">
            <a:buFont typeface="Arial" panose="020B0604020202020204" pitchFamily="34" charset="0"/>
            <a:buChar char="•"/>
          </a:pPr>
          <a:r>
            <a:rPr lang="en-US" sz="1100" b="0" i="0" baseline="0">
              <a:solidFill>
                <a:schemeClr val="tx1"/>
              </a:solidFill>
              <a:effectLst/>
              <a:latin typeface="+mn-lt"/>
              <a:ea typeface="+mn-ea"/>
              <a:cs typeface="+mn-cs"/>
            </a:rPr>
            <a:t>Product registration required.</a:t>
          </a: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1</xdr:col>
      <xdr:colOff>285750</xdr:colOff>
      <xdr:row>63</xdr:row>
      <xdr:rowOff>85725</xdr:rowOff>
    </xdr:from>
    <xdr:to>
      <xdr:col>1</xdr:col>
      <xdr:colOff>721519</xdr:colOff>
      <xdr:row>66</xdr:row>
      <xdr:rowOff>76281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71475" y="11087100"/>
          <a:ext cx="435769" cy="476331"/>
        </a:xfrm>
        <a:prstGeom prst="rect">
          <a:avLst/>
        </a:prstGeom>
        <a:noFill/>
        <a:ln w="9525">
          <a:noFill/>
          <a:miter lim="800000"/>
          <a:headEnd/>
          <a:tailEnd/>
        </a:ln>
      </xdr:spPr>
    </xdr:pic>
    <xdr:clientData/>
  </xdr:twoCellAnchor>
  <xdr:twoCellAnchor>
    <xdr:from>
      <xdr:col>0</xdr:col>
      <xdr:colOff>0</xdr:colOff>
      <xdr:row>68</xdr:row>
      <xdr:rowOff>0</xdr:rowOff>
    </xdr:from>
    <xdr:to>
      <xdr:col>7</xdr:col>
      <xdr:colOff>685800</xdr:colOff>
      <xdr:row>70</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5</xdr:col>
      <xdr:colOff>1333500</xdr:colOff>
      <xdr:row>10</xdr:row>
      <xdr:rowOff>95250</xdr:rowOff>
    </xdr:from>
    <xdr:to>
      <xdr:col>7</xdr:col>
      <xdr:colOff>736000</xdr:colOff>
      <xdr:row>27</xdr:row>
      <xdr:rowOff>114528</xdr:rowOff>
    </xdr:to>
    <xdr:pic>
      <xdr:nvPicPr>
        <xdr:cNvPr id="4" name="Picture 3">
          <a:extLst>
            <a:ext uri="{FF2B5EF4-FFF2-40B4-BE49-F238E27FC236}">
              <a16:creationId xmlns:a16="http://schemas.microsoft.com/office/drawing/2014/main" id="{E35C12BA-16B7-4AB5-A3F7-8793B59CC0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5050" y="2209800"/>
          <a:ext cx="2164750" cy="2886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46</xdr:row>
      <xdr:rowOff>19050</xdr:rowOff>
    </xdr:from>
    <xdr:to>
      <xdr:col>7</xdr:col>
      <xdr:colOff>1000126</xdr:colOff>
      <xdr:row>62</xdr:row>
      <xdr:rowOff>50851</xdr:rowOff>
    </xdr:to>
    <xdr:pic>
      <xdr:nvPicPr>
        <xdr:cNvPr id="8" name="Picture 7">
          <a:extLst>
            <a:ext uri="{FF2B5EF4-FFF2-40B4-BE49-F238E27FC236}">
              <a16:creationId xmlns:a16="http://schemas.microsoft.com/office/drawing/2014/main" id="{F84F83A1-DEDF-934D-AE17-183A35DDE5AC}"/>
            </a:ext>
          </a:extLst>
        </xdr:cNvPr>
        <xdr:cNvPicPr>
          <a:picLocks noChangeAspect="1"/>
        </xdr:cNvPicPr>
      </xdr:nvPicPr>
      <xdr:blipFill>
        <a:blip xmlns:r="http://schemas.openxmlformats.org/officeDocument/2006/relationships" r:embed="rId5"/>
        <a:stretch>
          <a:fillRect/>
        </a:stretch>
      </xdr:blipFill>
      <xdr:spPr>
        <a:xfrm>
          <a:off x="123826" y="8343900"/>
          <a:ext cx="8420100" cy="2546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98712</xdr:colOff>
      <xdr:row>0</xdr:row>
      <xdr:rowOff>205220</xdr:rowOff>
    </xdr:from>
    <xdr:to>
      <xdr:col>11</xdr:col>
      <xdr:colOff>200025</xdr:colOff>
      <xdr:row>4</xdr:row>
      <xdr:rowOff>322221</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2" y="205220"/>
          <a:ext cx="4054188" cy="1450501"/>
        </a:xfrm>
        <a:prstGeom prst="rect">
          <a:avLst/>
        </a:prstGeom>
      </xdr:spPr>
    </xdr:pic>
    <xdr:clientData/>
  </xdr:twoCellAnchor>
  <xdr:twoCellAnchor editAs="oneCell">
    <xdr:from>
      <xdr:col>12</xdr:col>
      <xdr:colOff>304801</xdr:colOff>
      <xdr:row>9</xdr:row>
      <xdr:rowOff>38100</xdr:rowOff>
    </xdr:from>
    <xdr:to>
      <xdr:col>22</xdr:col>
      <xdr:colOff>87215</xdr:colOff>
      <xdr:row>41</xdr:row>
      <xdr:rowOff>93659</xdr:rowOff>
    </xdr:to>
    <xdr:pic>
      <xdr:nvPicPr>
        <xdr:cNvPr id="3" name="Picture 2">
          <a:extLst>
            <a:ext uri="{FF2B5EF4-FFF2-40B4-BE49-F238E27FC236}">
              <a16:creationId xmlns:a16="http://schemas.microsoft.com/office/drawing/2014/main" id="{19EA2C33-184A-48A5-9063-4B411FCF62EB}"/>
            </a:ext>
          </a:extLst>
        </xdr:cNvPr>
        <xdr:cNvPicPr>
          <a:picLocks noChangeAspect="1"/>
        </xdr:cNvPicPr>
      </xdr:nvPicPr>
      <xdr:blipFill>
        <a:blip xmlns:r="http://schemas.openxmlformats.org/officeDocument/2006/relationships" r:embed="rId2"/>
        <a:stretch>
          <a:fillRect/>
        </a:stretch>
      </xdr:blipFill>
      <xdr:spPr>
        <a:xfrm>
          <a:off x="4591051" y="2505075"/>
          <a:ext cx="4087714" cy="52371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
  <sheetViews>
    <sheetView showGridLines="0" tabSelected="1" view="pageBreakPreview" zoomScaleNormal="100" zoomScaleSheetLayoutView="100" workbookViewId="0">
      <selection activeCell="K24" sqref="K24"/>
    </sheetView>
  </sheetViews>
  <sheetFormatPr defaultColWidth="9.140625" defaultRowHeight="12.75"/>
  <cols>
    <col min="1" max="1" width="1.28515625" style="1" customWidth="1"/>
    <col min="2" max="2" width="16.7109375" style="1" customWidth="1"/>
    <col min="3" max="3" width="12.7109375" style="1" customWidth="1"/>
    <col min="4" max="4" width="20.28515625" style="1" customWidth="1"/>
    <col min="5" max="7" width="20.7109375" style="1" customWidth="1"/>
    <col min="8" max="8" width="17" style="1" customWidth="1"/>
    <col min="9" max="9" width="10.7109375" style="1" customWidth="1"/>
    <col min="10" max="10" width="9.140625" style="1"/>
    <col min="11" max="11" width="9.140625" style="1" customWidth="1"/>
    <col min="12" max="16384" width="9.140625" style="1"/>
  </cols>
  <sheetData>
    <row r="1" spans="1:11">
      <c r="D1" s="2"/>
      <c r="E1" s="2"/>
      <c r="F1" s="2"/>
      <c r="G1" s="2"/>
    </row>
    <row r="2" spans="1:11" ht="26.25" customHeight="1">
      <c r="D2" s="2"/>
      <c r="E2" s="2"/>
      <c r="F2" s="2"/>
      <c r="G2" s="2"/>
      <c r="H2" s="3" t="s">
        <v>2</v>
      </c>
    </row>
    <row r="3" spans="1:11" ht="21.75" thickBot="1">
      <c r="A3" s="7"/>
      <c r="B3" s="7"/>
      <c r="C3" s="7"/>
      <c r="D3" s="7"/>
      <c r="E3" s="7"/>
      <c r="F3" s="7"/>
      <c r="G3" s="7"/>
      <c r="H3" s="8" t="s">
        <v>88</v>
      </c>
    </row>
    <row r="5" spans="1:11" ht="18.75" customHeight="1">
      <c r="B5" s="5" t="s">
        <v>8</v>
      </c>
      <c r="C5" s="29"/>
      <c r="D5" s="29"/>
      <c r="F5" s="5" t="s">
        <v>12</v>
      </c>
      <c r="G5" s="29"/>
      <c r="H5" s="29"/>
      <c r="I5" s="4"/>
    </row>
    <row r="6" spans="1:11" ht="18.75" customHeight="1">
      <c r="B6" s="6" t="s">
        <v>9</v>
      </c>
      <c r="C6" s="30"/>
      <c r="D6" s="30"/>
      <c r="F6" s="6" t="s">
        <v>3</v>
      </c>
      <c r="G6" s="29"/>
      <c r="H6" s="29"/>
      <c r="I6" s="4"/>
    </row>
    <row r="7" spans="1:11" ht="18.75" customHeight="1">
      <c r="B7" s="6" t="s">
        <v>10</v>
      </c>
      <c r="C7" s="30"/>
      <c r="D7" s="30"/>
      <c r="F7" s="6" t="s">
        <v>4</v>
      </c>
      <c r="G7" s="29"/>
      <c r="H7" s="30"/>
      <c r="I7" s="4"/>
    </row>
    <row r="8" spans="1:11" ht="18.75" customHeight="1">
      <c r="B8" s="6" t="s">
        <v>11</v>
      </c>
      <c r="C8" s="30"/>
      <c r="D8" s="30"/>
      <c r="F8" s="6" t="s">
        <v>5</v>
      </c>
      <c r="G8" s="29"/>
      <c r="H8" s="30"/>
      <c r="I8" s="4"/>
    </row>
    <row r="9" spans="1:11" ht="5.25" customHeight="1">
      <c r="I9" s="4"/>
    </row>
    <row r="10" spans="1:11">
      <c r="I10" s="4"/>
    </row>
    <row r="11" spans="1:11">
      <c r="B11" s="10" t="s">
        <v>0</v>
      </c>
      <c r="C11" s="11"/>
      <c r="D11" s="11"/>
      <c r="E11" s="11"/>
      <c r="F11" s="11"/>
      <c r="G11" s="11"/>
      <c r="H11" s="11"/>
      <c r="I11" s="28"/>
    </row>
    <row r="12" spans="1:11">
      <c r="B12" s="9"/>
      <c r="I12" s="4"/>
    </row>
    <row r="13" spans="1:11" ht="14.25">
      <c r="B13" s="9"/>
      <c r="K13" s="33"/>
    </row>
    <row r="14" spans="1:11" ht="14.25">
      <c r="B14" s="9"/>
      <c r="K14" s="33"/>
    </row>
    <row r="15" spans="1:11">
      <c r="B15" s="9"/>
    </row>
    <row r="16" spans="1:11">
      <c r="B16" s="9"/>
    </row>
    <row r="17" spans="2:11">
      <c r="B17" s="9"/>
    </row>
    <row r="18" spans="2:11">
      <c r="B18" s="9"/>
    </row>
    <row r="19" spans="2:11">
      <c r="B19" s="9"/>
    </row>
    <row r="20" spans="2:11" ht="17.25" customHeight="1">
      <c r="B20" s="9"/>
    </row>
    <row r="21" spans="2:11" ht="11.25" customHeight="1">
      <c r="B21" s="9"/>
    </row>
    <row r="22" spans="2:11" ht="11.45" customHeight="1">
      <c r="B22" s="2" t="s">
        <v>6</v>
      </c>
    </row>
    <row r="23" spans="2:11" ht="14.25">
      <c r="B23" s="33"/>
      <c r="K23" s="4"/>
    </row>
    <row r="24" spans="2:11" ht="15.75" customHeight="1">
      <c r="B24" s="33"/>
      <c r="K24" s="4"/>
    </row>
    <row r="25" spans="2:11">
      <c r="B25" s="2" t="s">
        <v>7</v>
      </c>
      <c r="K25" s="4"/>
    </row>
    <row r="26" spans="2:11">
      <c r="B26" s="9"/>
      <c r="K26" s="4"/>
    </row>
    <row r="27" spans="2:11">
      <c r="B27" s="9"/>
      <c r="K27" s="4"/>
    </row>
    <row r="28" spans="2:11">
      <c r="B28" s="9"/>
      <c r="K28" s="4"/>
    </row>
    <row r="29" spans="2:11">
      <c r="B29" s="9"/>
      <c r="K29" s="4"/>
    </row>
    <row r="30" spans="2:11" ht="16.5" customHeight="1">
      <c r="K30" s="4"/>
    </row>
    <row r="31" spans="2:11" ht="12.75" customHeight="1">
      <c r="B31" s="13"/>
      <c r="C31" s="14"/>
      <c r="D31" s="233" t="s">
        <v>1</v>
      </c>
      <c r="E31" s="234"/>
      <c r="F31" s="234"/>
      <c r="G31" s="235"/>
      <c r="K31" s="4"/>
    </row>
    <row r="32" spans="2:11" ht="12.75" customHeight="1">
      <c r="B32" s="15"/>
      <c r="C32" s="16"/>
      <c r="D32" s="32" t="s">
        <v>155</v>
      </c>
      <c r="E32" s="32" t="s">
        <v>181</v>
      </c>
      <c r="F32" s="32" t="s">
        <v>197</v>
      </c>
      <c r="G32" s="32" t="s">
        <v>197</v>
      </c>
      <c r="K32" s="4"/>
    </row>
    <row r="33" spans="2:11" ht="13.5" customHeight="1">
      <c r="B33" s="25" t="s">
        <v>23</v>
      </c>
      <c r="C33" s="26"/>
      <c r="D33" s="27" t="str">
        <f>IFERROR(VLOOKUP(D32,Data!$B$3:$X$58,9,FALSE),"")</f>
        <v>none</v>
      </c>
      <c r="E33" s="27" t="str">
        <f>IFERROR(VLOOKUP(E32,Data!$B$3:$X$58,9,FALSE),"")</f>
        <v>none</v>
      </c>
      <c r="F33" s="27" t="str">
        <f>IFERROR(VLOOKUP(F32,Data!$B$3:$X$58,9,FALSE),"")</f>
        <v>none</v>
      </c>
      <c r="G33" s="139" t="str">
        <f>IFERROR(VLOOKUP(G32,Data!$B$3:$X$58,9,FALSE),"")</f>
        <v>none</v>
      </c>
      <c r="K33" s="4"/>
    </row>
    <row r="34" spans="2:11" ht="12.75" customHeight="1">
      <c r="B34" s="236" t="s">
        <v>82</v>
      </c>
      <c r="C34" s="21" t="s">
        <v>81</v>
      </c>
      <c r="D34" s="31" t="str">
        <f>IFERROR(VLOOKUP(D32,Data!$B$3:$X$58,3,FALSE),"")</f>
        <v>5-speed ECM motor</v>
      </c>
      <c r="E34" s="31" t="str">
        <f>IFERROR(VLOOKUP(E32,Data!$B$3:$X$58,3,FALSE),"")</f>
        <v>5-speed ECM motor</v>
      </c>
      <c r="F34" s="31" t="str">
        <f>IFERROR(VLOOKUP(F32,Data!$B$3:$X$58,3,FALSE),"")</f>
        <v>5-speed ECM motor</v>
      </c>
      <c r="G34" s="141" t="str">
        <f>IFERROR(VLOOKUP(G32,Data!$B$3:$X$58,3,FALSE),"")</f>
        <v>5-speed ECM motor</v>
      </c>
      <c r="K34" s="4"/>
    </row>
    <row r="35" spans="2:11" ht="12.75" customHeight="1">
      <c r="B35" s="237"/>
      <c r="C35" s="85" t="s">
        <v>16</v>
      </c>
      <c r="D35" s="86" t="str">
        <f>IFERROR(VLOOKUP(D32,Data!$B$3:$X$58,14,FALSE),"")</f>
        <v>1/3</v>
      </c>
      <c r="E35" s="86" t="str">
        <f>IFERROR(VLOOKUP(E32,Data!$B$3:$X$58,14,FALSE),"")</f>
        <v>3/4</v>
      </c>
      <c r="F35" s="86" t="str">
        <f>IFERROR(VLOOKUP(F32,Data!$B$3:$X$58,14,FALSE),"")</f>
        <v>3/4</v>
      </c>
      <c r="G35" s="142" t="str">
        <f>IFERROR(VLOOKUP(G32,Data!$B$3:$X$58,14,FALSE),"")</f>
        <v>3/4</v>
      </c>
      <c r="K35" s="4"/>
    </row>
    <row r="36" spans="2:11">
      <c r="B36" s="238"/>
      <c r="C36" s="22" t="s">
        <v>87</v>
      </c>
      <c r="D36" s="24">
        <f>IFERROR(VLOOKUP(D32,Data!$B$3:$X$58,15,FALSE),"")</f>
        <v>2.6</v>
      </c>
      <c r="E36" s="24">
        <f>IFERROR(VLOOKUP(E32,Data!$B$3:$X$58,15,FALSE),"")</f>
        <v>5.8</v>
      </c>
      <c r="F36" s="24">
        <f>IFERROR(VLOOKUP(F32,Data!$B$3:$X$58,15,FALSE),"")</f>
        <v>5.8</v>
      </c>
      <c r="G36" s="143">
        <f>IFERROR(VLOOKUP(G32,Data!$B$3:$X$58,15,FALSE),"")</f>
        <v>5.8</v>
      </c>
      <c r="K36" s="4"/>
    </row>
    <row r="37" spans="2:11">
      <c r="B37" s="18" t="s">
        <v>18</v>
      </c>
      <c r="C37" s="23"/>
      <c r="D37" s="24" t="str">
        <f>IFERROR(VLOOKUP(D32,Data!$B$3:$X$58,16,FALSE),"")</f>
        <v>600 - 800</v>
      </c>
      <c r="E37" s="24" t="str">
        <f>IFERROR(VLOOKUP(E32,Data!$B$3:$X$58,16,FALSE),"")</f>
        <v>1200 - 1400</v>
      </c>
      <c r="F37" s="24" t="str">
        <f>IFERROR(VLOOKUP(F32,Data!$B$3:$X$58,16,FALSE),"")</f>
        <v>1200 - 1800</v>
      </c>
      <c r="G37" s="143" t="str">
        <f>IFERROR(VLOOKUP(G32,Data!$B$3:$X$58,16,FALSE),"")</f>
        <v>1200 - 1800</v>
      </c>
      <c r="K37" s="4"/>
    </row>
    <row r="38" spans="2:11">
      <c r="B38" s="17" t="s">
        <v>21</v>
      </c>
      <c r="C38" s="20"/>
      <c r="D38" s="12">
        <f>IFERROR(VLOOKUP(D32,Data!$B$3:$X$58,17,FALSE),"")</f>
        <v>85</v>
      </c>
      <c r="E38" s="12">
        <f>IFERROR(VLOOKUP(E32,Data!$B$3:$X$58,17,FALSE),"")</f>
        <v>85</v>
      </c>
      <c r="F38" s="12">
        <f>IFERROR(VLOOKUP(F32,Data!$B$3:$X$58,17,FALSE),"")</f>
        <v>100</v>
      </c>
      <c r="G38" s="140">
        <f>IFERROR(VLOOKUP(G32,Data!$B$3:$X$58,17,FALSE),"")</f>
        <v>100</v>
      </c>
    </row>
    <row r="39" spans="2:11" ht="13.5" customHeight="1">
      <c r="B39" s="18" t="s">
        <v>13</v>
      </c>
      <c r="C39" s="79"/>
      <c r="D39" s="80" t="str">
        <f>IFERROR(VLOOKUP(D32,Data!$B$3:$X$58,18,FALSE),"")</f>
        <v>208/240 V, 60 Hz, 1 ph.</v>
      </c>
      <c r="E39" s="80" t="str">
        <f>IFERROR(VLOOKUP(E32,Data!$B$3:$X$58,18,FALSE),"")</f>
        <v>208/240 V, 60 Hz, 1 ph.</v>
      </c>
      <c r="F39" s="80" t="str">
        <f>IFERROR(VLOOKUP(F32,Data!$B$3:$X$58,18,FALSE),"")</f>
        <v>208/240 V, 60 Hz, 1 ph.</v>
      </c>
      <c r="G39" s="144" t="str">
        <f>IFERROR(VLOOKUP(G32,Data!$B$3:$X$58,18,FALSE),"")</f>
        <v>208/240 V, 60 Hz, 1 ph.</v>
      </c>
    </row>
    <row r="40" spans="2:11" ht="13.5" customHeight="1">
      <c r="B40" s="18" t="s">
        <v>14</v>
      </c>
      <c r="C40" s="23"/>
      <c r="D40" s="80" t="str">
        <f>IFERROR(VLOOKUP(D32,Data!$B$3:$X$58,19,FALSE),"")</f>
        <v>10kW</v>
      </c>
      <c r="E40" s="80" t="str">
        <f>IFERROR(VLOOKUP(E32,Data!$B$3:$X$58,19,FALSE),"")</f>
        <v>20kW</v>
      </c>
      <c r="F40" s="80" t="str">
        <f>IFERROR(VLOOKUP(F32,Data!$B$3:$X$58,19,FALSE),"")</f>
        <v>20kW</v>
      </c>
      <c r="G40" s="144" t="str">
        <f>IFERROR(VLOOKUP(G32,Data!$B$3:$X$58,19,FALSE),"")</f>
        <v>20kW</v>
      </c>
    </row>
    <row r="41" spans="2:11" ht="13.5" customHeight="1">
      <c r="B41" s="81" t="s">
        <v>15</v>
      </c>
      <c r="C41" s="82"/>
      <c r="D41" s="83" t="str">
        <f>IFERROR(VLOOKUP(D32,Data!$B$3:$X$58,20,FALSE),"")</f>
        <v>40 VA, Class 2</v>
      </c>
      <c r="E41" s="83" t="str">
        <f>IFERROR(VLOOKUP(E32,Data!$B$3:$X$58,20,FALSE),"")</f>
        <v>40 VA, Class 2</v>
      </c>
      <c r="F41" s="83" t="str">
        <f>IFERROR(VLOOKUP(F32,Data!$B$3:$X$58,20,FALSE),"")</f>
        <v>40 VA, Class 2</v>
      </c>
      <c r="G41" s="145" t="str">
        <f>IFERROR(VLOOKUP(G32,Data!$B$3:$X$58,20,FALSE),"")</f>
        <v>40 VA, Class 2</v>
      </c>
    </row>
    <row r="42" spans="2:11">
      <c r="B42" s="2"/>
    </row>
    <row r="43" spans="2:11">
      <c r="B43" s="2"/>
    </row>
    <row r="44" spans="2:11">
      <c r="B44" s="2"/>
    </row>
    <row r="45" spans="2:11">
      <c r="C45" s="239" t="s">
        <v>119</v>
      </c>
      <c r="D45" s="239"/>
      <c r="E45" s="239"/>
      <c r="F45" s="239"/>
      <c r="G45" s="239"/>
    </row>
    <row r="46" spans="2:11" ht="9.9499999999999993" customHeight="1"/>
    <row r="47" spans="2:11" ht="9.9499999999999993" customHeight="1">
      <c r="B47" s="9"/>
    </row>
    <row r="48" spans="2:11" ht="9.9499999999999993" customHeight="1">
      <c r="B48" s="9"/>
    </row>
    <row r="49" spans="11:11">
      <c r="K49" s="4"/>
    </row>
    <row r="50" spans="11:11">
      <c r="K50" s="4"/>
    </row>
    <row r="51" spans="11:11">
      <c r="K51" s="4"/>
    </row>
    <row r="52" spans="11:11">
      <c r="K52" s="4"/>
    </row>
    <row r="53" spans="11:11">
      <c r="K53" s="4"/>
    </row>
    <row r="54" spans="11:11">
      <c r="K54" s="4"/>
    </row>
    <row r="55" spans="11:11">
      <c r="K55" s="4"/>
    </row>
    <row r="56" spans="11:11">
      <c r="K56" s="4"/>
    </row>
    <row r="57" spans="11:11">
      <c r="K57" s="4"/>
    </row>
    <row r="58" spans="11:11">
      <c r="K58" s="4"/>
    </row>
    <row r="59" spans="11:11">
      <c r="K59" s="4"/>
    </row>
    <row r="60" spans="11:11">
      <c r="K60" s="4"/>
    </row>
    <row r="61" spans="11:11">
      <c r="K61" s="4"/>
    </row>
    <row r="62" spans="11:11">
      <c r="K62" s="4"/>
    </row>
    <row r="63" spans="11:11">
      <c r="K63" s="4"/>
    </row>
    <row r="64" spans="11:11">
      <c r="K64" s="4"/>
    </row>
    <row r="65" spans="1:11">
      <c r="K65" s="4"/>
    </row>
    <row r="66" spans="1:11">
      <c r="K66" s="4"/>
    </row>
    <row r="67" spans="1:11">
      <c r="K67" s="4"/>
    </row>
    <row r="68" spans="1:11" s="4" customFormat="1" ht="3.75" customHeight="1"/>
    <row r="69" spans="1:11">
      <c r="A69" s="19"/>
      <c r="B69" s="19"/>
      <c r="C69" s="19"/>
      <c r="D69" s="19"/>
      <c r="E69" s="19"/>
      <c r="F69" s="19"/>
      <c r="G69" s="19"/>
      <c r="H69" s="19"/>
      <c r="I69" s="4"/>
      <c r="K69" s="4"/>
    </row>
    <row r="70" spans="1:11">
      <c r="A70" s="4"/>
      <c r="B70" s="4"/>
      <c r="C70" s="4"/>
      <c r="D70" s="4"/>
      <c r="E70" s="4"/>
      <c r="F70" s="4"/>
      <c r="G70" s="4"/>
      <c r="H70" s="4"/>
      <c r="I70" s="4"/>
      <c r="K70" s="4"/>
    </row>
    <row r="71" spans="1:11">
      <c r="K71" s="4"/>
    </row>
    <row r="72" spans="1:11">
      <c r="K72" s="4"/>
    </row>
    <row r="73" spans="1:11">
      <c r="K73" s="4"/>
    </row>
    <row r="74" spans="1:11">
      <c r="K74" s="4"/>
    </row>
    <row r="75" spans="1:11">
      <c r="K75" s="4"/>
    </row>
    <row r="76" spans="1:11">
      <c r="K76" s="4"/>
    </row>
    <row r="77" spans="1:11">
      <c r="K77" s="4"/>
    </row>
    <row r="78" spans="1:11">
      <c r="K78" s="4"/>
    </row>
    <row r="79" spans="1:11">
      <c r="K79" s="4"/>
    </row>
    <row r="80" spans="1:11">
      <c r="K80" s="4"/>
    </row>
  </sheetData>
  <sheetProtection algorithmName="SHA-512" hashValue="N7kN18GuYPaLyTWSKqPwEs2eHm37x4cEzNf/pREXko1TYzNnhk/Wh9E9xnDPiywoTgbLaZPf0xYLZ0ZwxvELVA==" saltValue="3ce8x2u0boKpJoRd+iNzCg==" spinCount="100000" sheet="1" objects="1" scenarios="1"/>
  <protectedRanges>
    <protectedRange sqref="D32:G32" name="RngModels"/>
  </protectedRanges>
  <mergeCells count="3">
    <mergeCell ref="D31:G31"/>
    <mergeCell ref="B34:B36"/>
    <mergeCell ref="C45:G45"/>
  </mergeCells>
  <printOptions horizontalCentered="1"/>
  <pageMargins left="0.2" right="0.2" top="0.25" bottom="0.2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pageSetUpPr fitToPage="1"/>
  </sheetPr>
  <dimension ref="A1:AG97"/>
  <sheetViews>
    <sheetView showGridLines="0" view="pageBreakPreview" topLeftCell="A55" zoomScaleNormal="100" zoomScaleSheetLayoutView="100" workbookViewId="0">
      <selection activeCell="G29" sqref="G29"/>
    </sheetView>
  </sheetViews>
  <sheetFormatPr defaultColWidth="9.140625" defaultRowHeight="12.75"/>
  <cols>
    <col min="1" max="2" width="4.42578125" style="1" customWidth="1"/>
    <col min="3" max="3" width="9.42578125" style="1" customWidth="1"/>
    <col min="4" max="4" width="5" style="1" customWidth="1"/>
    <col min="5" max="5" width="6" style="1" bestFit="1" customWidth="1"/>
    <col min="6" max="15" width="5" style="1" customWidth="1"/>
    <col min="16" max="16" width="2.5703125" style="1" customWidth="1"/>
    <col min="17" max="17" width="7.140625" style="1" customWidth="1"/>
    <col min="18" max="18" width="2.5703125" style="1" customWidth="1"/>
    <col min="19" max="19" width="14.42578125" style="1" customWidth="1"/>
    <col min="20" max="20" width="6" style="1" customWidth="1"/>
    <col min="21" max="21" width="7.85546875" style="1" customWidth="1"/>
    <col min="22" max="23" width="9" style="1" customWidth="1"/>
    <col min="24" max="25" width="6.28515625" style="1" customWidth="1"/>
    <col min="26" max="27" width="6.140625" style="1" customWidth="1"/>
    <col min="28" max="31" width="6.7109375" style="1" customWidth="1"/>
    <col min="32" max="32" width="2.7109375" style="1" customWidth="1"/>
    <col min="33" max="16384" width="9.140625" style="1"/>
  </cols>
  <sheetData>
    <row r="1" spans="1:33" ht="26.25" customHeight="1">
      <c r="E1" s="2"/>
      <c r="F1" s="2"/>
      <c r="G1" s="2"/>
      <c r="H1" s="2"/>
      <c r="AG1" s="3"/>
    </row>
    <row r="2" spans="1:33" ht="26.25" customHeight="1">
      <c r="E2" s="2"/>
      <c r="F2" s="2"/>
      <c r="G2" s="2"/>
      <c r="H2" s="2"/>
      <c r="AG2" s="3"/>
    </row>
    <row r="3" spans="1:33" ht="26.25" customHeight="1">
      <c r="E3" s="2"/>
      <c r="F3" s="2"/>
      <c r="G3" s="2"/>
      <c r="H3" s="2"/>
      <c r="AG3" s="3"/>
    </row>
    <row r="4" spans="1:33" ht="26.25" customHeight="1">
      <c r="E4" s="2"/>
      <c r="F4" s="2"/>
      <c r="G4" s="2"/>
      <c r="H4" s="2"/>
      <c r="AG4" s="3"/>
    </row>
    <row r="5" spans="1:33" ht="26.25" customHeight="1">
      <c r="E5" s="2"/>
      <c r="F5" s="2"/>
      <c r="G5" s="2"/>
      <c r="H5" s="2"/>
      <c r="AG5" s="137" t="s">
        <v>2</v>
      </c>
    </row>
    <row r="6" spans="1:33" ht="21.75" thickBot="1">
      <c r="A6" s="7"/>
      <c r="B6" s="7"/>
      <c r="C6" s="7"/>
      <c r="D6" s="7"/>
      <c r="E6" s="7"/>
      <c r="F6" s="7"/>
      <c r="G6" s="7"/>
      <c r="H6" s="7"/>
      <c r="I6" s="7"/>
      <c r="J6" s="7"/>
      <c r="K6" s="7"/>
      <c r="L6" s="7"/>
      <c r="M6" s="7"/>
      <c r="N6" s="7"/>
      <c r="O6" s="7"/>
      <c r="P6" s="7"/>
      <c r="Q6" s="7"/>
      <c r="R6" s="7"/>
      <c r="S6" s="7"/>
      <c r="T6" s="7"/>
      <c r="U6" s="7"/>
      <c r="V6" s="7"/>
      <c r="W6" s="7"/>
      <c r="X6" s="7"/>
      <c r="Y6" s="7"/>
      <c r="Z6" s="7"/>
      <c r="AA6" s="7"/>
      <c r="AB6" s="7"/>
      <c r="AC6" s="138"/>
      <c r="AD6" s="7"/>
      <c r="AE6" s="7"/>
      <c r="AF6" s="7"/>
      <c r="AG6" s="8" t="s">
        <v>88</v>
      </c>
    </row>
    <row r="7" spans="1:33" ht="13.5" customHeight="1">
      <c r="A7" s="88"/>
      <c r="B7" s="88"/>
      <c r="C7" s="135"/>
      <c r="D7" s="135"/>
      <c r="E7" s="135"/>
      <c r="F7" s="135"/>
      <c r="G7" s="132"/>
      <c r="H7" s="136"/>
      <c r="I7" s="136"/>
      <c r="J7" s="136"/>
      <c r="K7" s="136"/>
      <c r="L7" s="136"/>
      <c r="M7" s="136"/>
      <c r="N7" s="135"/>
      <c r="O7" s="132"/>
      <c r="P7" s="132"/>
      <c r="Q7" s="131"/>
      <c r="R7" s="131"/>
    </row>
    <row r="8" spans="1:33" ht="15">
      <c r="A8" s="88"/>
      <c r="B8" s="88"/>
      <c r="C8" s="168"/>
      <c r="D8" s="168"/>
      <c r="E8" s="168"/>
      <c r="F8" s="168"/>
      <c r="G8" s="168"/>
      <c r="H8" s="168"/>
      <c r="I8" s="168"/>
      <c r="J8" s="168"/>
      <c r="K8" s="168"/>
      <c r="L8" s="168"/>
      <c r="M8" s="168"/>
      <c r="N8" s="168"/>
      <c r="O8" s="168"/>
      <c r="P8" s="168"/>
      <c r="Q8" s="168"/>
      <c r="R8" s="168"/>
      <c r="S8" s="168"/>
      <c r="T8" s="169"/>
      <c r="U8" s="169"/>
      <c r="V8" s="169"/>
      <c r="W8" s="169"/>
      <c r="X8" s="169"/>
      <c r="Y8" s="169"/>
      <c r="Z8" s="169"/>
      <c r="AA8" s="169"/>
      <c r="AB8" s="169"/>
      <c r="AC8" s="169"/>
      <c r="AD8" s="169"/>
    </row>
    <row r="9" spans="1:33">
      <c r="A9" s="88"/>
      <c r="B9" s="88"/>
      <c r="C9" s="166"/>
      <c r="D9" s="166"/>
      <c r="E9" s="166"/>
      <c r="F9" s="166"/>
      <c r="G9" s="166"/>
      <c r="H9" s="166"/>
      <c r="I9" s="166"/>
      <c r="J9" s="166"/>
      <c r="K9" s="166"/>
      <c r="L9" s="166"/>
      <c r="M9" s="166"/>
      <c r="N9" s="166"/>
      <c r="O9" s="166"/>
      <c r="P9" s="166"/>
      <c r="Q9" s="166"/>
      <c r="R9" s="166"/>
      <c r="S9" s="170"/>
      <c r="T9" s="171"/>
      <c r="U9" s="171"/>
      <c r="V9" s="171"/>
      <c r="W9" s="171"/>
      <c r="X9" s="171"/>
      <c r="Y9" s="171"/>
      <c r="Z9" s="171"/>
      <c r="AA9" s="171"/>
      <c r="AB9" s="171"/>
      <c r="AC9" s="171"/>
      <c r="AD9" s="170"/>
    </row>
    <row r="10" spans="1:33">
      <c r="A10" s="88"/>
      <c r="B10" s="88"/>
      <c r="C10" s="166"/>
      <c r="D10" s="166"/>
      <c r="E10" s="166"/>
      <c r="F10" s="166"/>
      <c r="G10" s="166"/>
      <c r="H10" s="166"/>
      <c r="I10" s="166"/>
      <c r="J10" s="172"/>
      <c r="K10" s="172"/>
      <c r="L10" s="172"/>
      <c r="M10" s="172"/>
      <c r="N10" s="172"/>
      <c r="O10" s="172"/>
      <c r="P10" s="172"/>
      <c r="Q10" s="172"/>
      <c r="R10" s="172"/>
      <c r="S10" s="167"/>
      <c r="T10" s="173"/>
      <c r="U10" s="173"/>
      <c r="V10" s="173"/>
      <c r="W10" s="173"/>
      <c r="X10" s="173"/>
      <c r="Y10" s="173"/>
      <c r="Z10" s="173"/>
      <c r="AA10" s="173"/>
      <c r="AB10" s="173"/>
      <c r="AC10" s="173"/>
      <c r="AD10" s="167"/>
    </row>
    <row r="11" spans="1:33">
      <c r="A11" s="88"/>
      <c r="B11" s="88"/>
      <c r="C11" s="166"/>
      <c r="D11" s="166"/>
      <c r="E11" s="166"/>
      <c r="F11" s="166"/>
      <c r="G11" s="166"/>
      <c r="H11" s="166"/>
      <c r="I11" s="166"/>
      <c r="J11" s="172"/>
      <c r="K11" s="172"/>
      <c r="L11" s="172"/>
      <c r="M11" s="172"/>
      <c r="N11" s="172"/>
      <c r="O11" s="172"/>
      <c r="P11" s="172"/>
      <c r="Q11" s="172"/>
      <c r="R11" s="172"/>
      <c r="S11" s="167"/>
      <c r="T11" s="173"/>
      <c r="U11" s="173"/>
      <c r="V11" s="173"/>
      <c r="W11" s="173"/>
      <c r="X11" s="173"/>
      <c r="Y11" s="173"/>
      <c r="Z11" s="173"/>
      <c r="AA11" s="173"/>
      <c r="AB11" s="173"/>
      <c r="AC11" s="173"/>
      <c r="AD11" s="167"/>
    </row>
    <row r="12" spans="1:33">
      <c r="A12" s="88"/>
      <c r="B12" s="88"/>
      <c r="C12" s="166"/>
      <c r="D12" s="166"/>
      <c r="E12" s="166"/>
      <c r="F12" s="166"/>
      <c r="G12" s="166"/>
      <c r="H12" s="166"/>
      <c r="I12" s="166"/>
      <c r="J12" s="172"/>
      <c r="K12" s="172"/>
      <c r="L12" s="172"/>
      <c r="M12" s="172"/>
      <c r="N12" s="172"/>
      <c r="O12" s="172"/>
      <c r="P12" s="172"/>
      <c r="Q12" s="172"/>
      <c r="R12" s="172"/>
      <c r="S12" s="167"/>
      <c r="T12" s="173"/>
      <c r="U12" s="173"/>
      <c r="V12" s="173"/>
      <c r="W12" s="173"/>
      <c r="X12" s="173"/>
      <c r="Y12" s="173"/>
      <c r="Z12" s="173"/>
      <c r="AA12" s="173"/>
      <c r="AB12" s="173"/>
      <c r="AC12" s="173"/>
      <c r="AD12" s="167"/>
    </row>
    <row r="13" spans="1:33">
      <c r="A13" s="88"/>
      <c r="B13" s="88"/>
      <c r="C13" s="166"/>
      <c r="D13" s="166"/>
      <c r="E13" s="166"/>
      <c r="F13" s="166"/>
      <c r="G13" s="166"/>
      <c r="H13" s="166"/>
      <c r="I13" s="166"/>
      <c r="J13" s="172"/>
      <c r="K13" s="172"/>
      <c r="L13" s="172"/>
      <c r="M13" s="172"/>
      <c r="N13" s="172"/>
      <c r="O13" s="172"/>
      <c r="P13" s="172"/>
      <c r="Q13" s="172"/>
      <c r="R13" s="172"/>
      <c r="S13" s="167"/>
      <c r="T13" s="173"/>
      <c r="U13" s="173"/>
      <c r="V13" s="173"/>
      <c r="W13" s="173"/>
      <c r="X13" s="173"/>
      <c r="Y13" s="173"/>
      <c r="Z13" s="173"/>
      <c r="AA13" s="173"/>
      <c r="AB13" s="173"/>
      <c r="AC13" s="173"/>
      <c r="AD13" s="167"/>
    </row>
    <row r="14" spans="1:33">
      <c r="A14" s="88"/>
      <c r="B14" s="88"/>
      <c r="C14" s="133"/>
      <c r="D14" s="133"/>
      <c r="E14" s="132"/>
      <c r="F14" s="132"/>
      <c r="G14" s="132"/>
      <c r="H14" s="132"/>
      <c r="I14" s="134"/>
      <c r="J14" s="132"/>
      <c r="K14" s="132"/>
      <c r="L14" s="132"/>
      <c r="M14" s="132"/>
      <c r="N14" s="132"/>
      <c r="O14" s="132"/>
      <c r="P14" s="132"/>
      <c r="Q14" s="131"/>
      <c r="R14" s="131"/>
      <c r="S14" s="4"/>
      <c r="T14" s="4"/>
      <c r="U14" s="4"/>
      <c r="V14" s="4"/>
      <c r="W14" s="4"/>
      <c r="X14" s="4"/>
      <c r="Y14" s="4"/>
      <c r="Z14" s="4"/>
      <c r="AA14" s="4"/>
      <c r="AB14" s="4"/>
      <c r="AC14" s="4"/>
      <c r="AD14" s="4"/>
    </row>
    <row r="15" spans="1:33">
      <c r="A15" s="88"/>
      <c r="B15" s="88"/>
      <c r="C15" s="123"/>
      <c r="D15" s="123"/>
      <c r="E15" s="108"/>
      <c r="F15" s="108"/>
      <c r="G15" s="108"/>
      <c r="H15" s="108"/>
      <c r="I15" s="124"/>
      <c r="J15" s="108"/>
      <c r="K15" s="108"/>
      <c r="L15" s="108"/>
      <c r="M15" s="108"/>
      <c r="N15" s="108"/>
      <c r="O15" s="88"/>
      <c r="P15" s="88"/>
    </row>
    <row r="16" spans="1:33">
      <c r="A16" s="88"/>
      <c r="B16" s="88"/>
      <c r="C16" s="123"/>
      <c r="D16" s="123"/>
      <c r="E16" s="108"/>
      <c r="F16" s="108"/>
      <c r="G16" s="108"/>
      <c r="H16" s="108"/>
      <c r="I16" s="124"/>
      <c r="J16" s="108"/>
      <c r="K16" s="108"/>
      <c r="L16" s="108"/>
      <c r="M16" s="108"/>
      <c r="N16" s="108"/>
      <c r="O16" s="88"/>
      <c r="P16" s="88"/>
    </row>
    <row r="17" spans="1:16">
      <c r="A17" s="88"/>
      <c r="B17" s="88"/>
      <c r="C17" s="123"/>
      <c r="D17" s="123"/>
      <c r="E17" s="108"/>
      <c r="F17" s="108"/>
      <c r="G17" s="108"/>
      <c r="H17" s="108"/>
      <c r="I17" s="124"/>
      <c r="J17" s="108"/>
      <c r="K17" s="108"/>
      <c r="L17" s="108"/>
      <c r="M17" s="108"/>
      <c r="N17" s="108"/>
      <c r="O17" s="88"/>
      <c r="P17" s="88"/>
    </row>
    <row r="18" spans="1:16">
      <c r="A18" s="88"/>
      <c r="B18" s="88"/>
      <c r="C18" s="123"/>
      <c r="D18" s="123"/>
      <c r="E18" s="108"/>
      <c r="F18" s="108"/>
      <c r="G18" s="108"/>
      <c r="H18" s="108"/>
      <c r="I18" s="124"/>
      <c r="J18" s="108"/>
      <c r="K18" s="108"/>
      <c r="L18" s="108"/>
      <c r="M18" s="108"/>
      <c r="N18" s="108"/>
      <c r="O18" s="88"/>
      <c r="P18" s="88"/>
    </row>
    <row r="19" spans="1:16">
      <c r="A19" s="88"/>
      <c r="B19" s="88"/>
      <c r="C19" s="123"/>
      <c r="D19" s="123"/>
      <c r="E19" s="108"/>
      <c r="F19" s="108"/>
      <c r="G19" s="108"/>
      <c r="H19" s="108"/>
      <c r="I19" s="124"/>
      <c r="J19" s="108"/>
      <c r="K19" s="108"/>
      <c r="L19" s="108"/>
      <c r="M19" s="108"/>
      <c r="N19" s="108"/>
      <c r="O19" s="88"/>
      <c r="P19" s="88"/>
    </row>
    <row r="20" spans="1:16">
      <c r="A20" s="88"/>
      <c r="B20" s="88"/>
      <c r="C20" s="123"/>
      <c r="D20" s="123"/>
      <c r="E20" s="108"/>
      <c r="F20" s="108"/>
      <c r="G20" s="108"/>
      <c r="H20" s="108"/>
      <c r="I20" s="124"/>
      <c r="J20" s="108"/>
      <c r="K20" s="108"/>
      <c r="L20" s="108"/>
      <c r="M20" s="108"/>
      <c r="N20" s="108"/>
      <c r="O20" s="88"/>
      <c r="P20" s="88"/>
    </row>
    <row r="21" spans="1:16">
      <c r="A21" s="88"/>
      <c r="B21" s="88"/>
      <c r="C21" s="123"/>
      <c r="D21" s="123"/>
      <c r="E21" s="108"/>
      <c r="F21" s="108"/>
      <c r="G21" s="108"/>
      <c r="H21" s="108"/>
      <c r="I21" s="124"/>
      <c r="J21" s="108"/>
      <c r="K21" s="108"/>
      <c r="L21" s="108"/>
      <c r="M21" s="108"/>
      <c r="N21" s="108"/>
      <c r="O21" s="88"/>
      <c r="P21" s="88"/>
    </row>
    <row r="22" spans="1:16">
      <c r="A22" s="88"/>
      <c r="B22" s="88"/>
      <c r="C22" s="123"/>
      <c r="D22" s="123"/>
      <c r="E22" s="108"/>
      <c r="F22" s="108"/>
      <c r="G22" s="108"/>
      <c r="H22" s="108"/>
      <c r="I22" s="124"/>
      <c r="J22" s="108"/>
      <c r="K22" s="108"/>
      <c r="L22" s="108"/>
      <c r="M22" s="108"/>
      <c r="N22" s="108"/>
      <c r="O22" s="88"/>
      <c r="P22" s="88"/>
    </row>
    <row r="23" spans="1:16">
      <c r="A23" s="88"/>
      <c r="B23" s="88"/>
      <c r="C23" s="123"/>
      <c r="D23" s="123"/>
      <c r="E23" s="108"/>
      <c r="F23" s="108"/>
      <c r="G23" s="108"/>
      <c r="H23" s="108"/>
      <c r="I23" s="124"/>
      <c r="J23" s="108"/>
      <c r="K23" s="108"/>
      <c r="L23" s="108"/>
      <c r="M23" s="108"/>
      <c r="N23" s="108"/>
      <c r="O23" s="88"/>
      <c r="P23" s="88"/>
    </row>
    <row r="24" spans="1:16">
      <c r="A24" s="88"/>
      <c r="B24" s="88"/>
      <c r="C24" s="123"/>
      <c r="D24" s="123"/>
      <c r="E24" s="108"/>
      <c r="F24" s="108"/>
      <c r="G24" s="108"/>
      <c r="H24" s="108"/>
      <c r="I24" s="124"/>
      <c r="J24" s="108"/>
      <c r="K24" s="108"/>
      <c r="L24" s="108"/>
      <c r="M24" s="108"/>
      <c r="N24" s="108"/>
      <c r="O24" s="88"/>
      <c r="P24" s="88"/>
    </row>
    <row r="25" spans="1:16">
      <c r="A25" s="88"/>
      <c r="B25" s="88"/>
      <c r="C25" s="123"/>
      <c r="D25" s="123"/>
      <c r="E25" s="108"/>
      <c r="F25" s="108"/>
      <c r="G25" s="108"/>
      <c r="H25" s="108"/>
      <c r="I25" s="124"/>
      <c r="J25" s="108"/>
      <c r="K25" s="108"/>
      <c r="L25" s="108"/>
      <c r="M25" s="108"/>
      <c r="N25" s="108"/>
      <c r="O25" s="88"/>
      <c r="P25" s="88"/>
    </row>
    <row r="26" spans="1:16">
      <c r="A26" s="88"/>
      <c r="B26" s="88"/>
      <c r="C26" s="123"/>
      <c r="D26" s="123"/>
      <c r="E26" s="108"/>
      <c r="F26" s="108"/>
      <c r="G26" s="108"/>
      <c r="H26" s="108"/>
      <c r="I26" s="124"/>
      <c r="J26" s="108"/>
      <c r="K26" s="108"/>
      <c r="L26" s="108"/>
      <c r="M26" s="108"/>
      <c r="N26" s="108"/>
      <c r="O26" s="88"/>
      <c r="P26" s="88"/>
    </row>
    <row r="27" spans="1:16">
      <c r="A27" s="88"/>
      <c r="B27" s="88"/>
      <c r="C27" s="123"/>
      <c r="D27" s="123"/>
      <c r="E27" s="108"/>
      <c r="F27" s="108"/>
      <c r="G27" s="108"/>
      <c r="H27" s="108"/>
      <c r="I27" s="124"/>
      <c r="J27" s="108"/>
      <c r="K27" s="108"/>
      <c r="L27" s="108"/>
      <c r="M27" s="108"/>
      <c r="N27" s="108"/>
      <c r="O27" s="88"/>
      <c r="P27" s="88"/>
    </row>
    <row r="28" spans="1:16">
      <c r="A28" s="88"/>
      <c r="B28" s="88"/>
      <c r="C28" s="123"/>
      <c r="D28" s="123"/>
      <c r="E28" s="108"/>
      <c r="F28" s="108"/>
      <c r="G28" s="108"/>
      <c r="H28" s="108"/>
      <c r="I28" s="124"/>
      <c r="J28" s="108"/>
      <c r="K28" s="108"/>
      <c r="L28" s="108"/>
      <c r="M28" s="108"/>
      <c r="N28" s="108"/>
      <c r="O28" s="88"/>
      <c r="P28" s="88"/>
    </row>
    <row r="29" spans="1:16">
      <c r="A29" s="88"/>
      <c r="B29" s="88"/>
      <c r="C29" s="123"/>
      <c r="D29" s="123"/>
      <c r="E29" s="108"/>
      <c r="F29" s="108"/>
      <c r="G29" s="108"/>
      <c r="H29" s="108"/>
      <c r="I29" s="124"/>
      <c r="J29" s="108"/>
      <c r="K29" s="108"/>
      <c r="L29" s="108"/>
      <c r="M29" s="108"/>
      <c r="N29" s="108"/>
      <c r="O29" s="88"/>
      <c r="P29" s="88"/>
    </row>
    <row r="30" spans="1:16">
      <c r="A30" s="88"/>
      <c r="B30" s="88"/>
      <c r="C30" s="123"/>
      <c r="D30" s="123"/>
      <c r="E30" s="108"/>
      <c r="F30" s="108"/>
      <c r="G30" s="108"/>
      <c r="H30" s="108"/>
      <c r="I30" s="124"/>
      <c r="J30" s="108"/>
      <c r="K30" s="108"/>
      <c r="L30" s="108"/>
      <c r="M30" s="108"/>
      <c r="N30" s="108"/>
      <c r="O30" s="88"/>
      <c r="P30" s="88"/>
    </row>
    <row r="31" spans="1:16">
      <c r="A31" s="88"/>
      <c r="B31" s="88"/>
      <c r="C31" s="123"/>
      <c r="D31" s="123"/>
      <c r="E31" s="108"/>
      <c r="F31" s="108"/>
      <c r="G31" s="108"/>
      <c r="H31" s="108"/>
      <c r="I31" s="124"/>
      <c r="J31" s="108"/>
      <c r="K31" s="108"/>
      <c r="L31" s="108"/>
      <c r="M31" s="108"/>
      <c r="N31" s="108"/>
      <c r="O31" s="88"/>
      <c r="P31" s="88"/>
    </row>
    <row r="32" spans="1:16">
      <c r="A32" s="88"/>
      <c r="B32" s="88"/>
      <c r="C32" s="123"/>
      <c r="D32" s="123"/>
      <c r="E32" s="108"/>
      <c r="F32" s="108"/>
      <c r="G32" s="108"/>
      <c r="H32" s="108"/>
      <c r="I32" s="124"/>
      <c r="J32" s="108"/>
      <c r="K32" s="108"/>
      <c r="L32" s="108"/>
      <c r="M32" s="108"/>
      <c r="N32" s="108"/>
      <c r="O32" s="88"/>
      <c r="P32" s="88"/>
    </row>
    <row r="33" spans="1:33">
      <c r="A33" s="88"/>
      <c r="B33" s="88"/>
      <c r="C33" s="123"/>
      <c r="D33" s="123"/>
      <c r="E33" s="108"/>
      <c r="F33" s="108"/>
      <c r="G33" s="108"/>
      <c r="H33" s="108"/>
      <c r="I33" s="124"/>
      <c r="J33" s="108"/>
      <c r="K33" s="108"/>
      <c r="L33" s="108"/>
      <c r="M33" s="108"/>
      <c r="N33" s="108"/>
      <c r="O33" s="88"/>
      <c r="P33" s="88"/>
    </row>
    <row r="34" spans="1:33">
      <c r="A34" s="88"/>
      <c r="B34" s="88"/>
      <c r="C34" s="123"/>
      <c r="D34" s="123"/>
      <c r="E34" s="108"/>
      <c r="F34" s="108"/>
      <c r="G34" s="108"/>
      <c r="H34" s="108"/>
      <c r="I34" s="124"/>
      <c r="J34" s="108"/>
      <c r="K34" s="108"/>
      <c r="L34" s="108"/>
      <c r="M34" s="108"/>
      <c r="N34" s="108"/>
      <c r="O34" s="88"/>
      <c r="P34" s="88"/>
    </row>
    <row r="35" spans="1:33">
      <c r="A35" s="88"/>
      <c r="B35" s="88"/>
      <c r="C35" s="123"/>
      <c r="D35" s="123"/>
      <c r="E35" s="108"/>
      <c r="F35" s="108"/>
      <c r="G35" s="108"/>
      <c r="H35" s="108"/>
      <c r="I35" s="124"/>
      <c r="J35" s="108"/>
      <c r="K35" s="108"/>
      <c r="L35" s="108"/>
      <c r="M35" s="108"/>
      <c r="N35" s="108"/>
      <c r="O35" s="88"/>
      <c r="P35" s="88"/>
    </row>
    <row r="36" spans="1:33">
      <c r="A36" s="88"/>
      <c r="B36" s="88"/>
      <c r="C36" s="123"/>
      <c r="D36" s="123"/>
      <c r="E36" s="108"/>
      <c r="F36" s="108"/>
      <c r="G36" s="108"/>
      <c r="H36" s="108"/>
      <c r="I36" s="124"/>
      <c r="J36" s="108"/>
      <c r="K36" s="108"/>
      <c r="L36" s="108"/>
      <c r="M36" s="108"/>
      <c r="N36" s="108"/>
      <c r="O36" s="88"/>
      <c r="P36" s="88"/>
    </row>
    <row r="37" spans="1:33">
      <c r="A37" s="88"/>
      <c r="B37" s="88"/>
      <c r="C37" s="89"/>
      <c r="D37" s="88"/>
      <c r="E37" s="88"/>
      <c r="F37" s="88"/>
      <c r="G37" s="88"/>
      <c r="H37" s="89"/>
      <c r="I37" s="88"/>
      <c r="J37" s="88"/>
      <c r="K37" s="88"/>
      <c r="L37" s="88"/>
      <c r="M37" s="88"/>
      <c r="N37" s="88"/>
      <c r="O37" s="88"/>
      <c r="P37" s="88"/>
    </row>
    <row r="38" spans="1:33">
      <c r="A38" s="88"/>
      <c r="B38" s="88"/>
      <c r="C38" s="88"/>
      <c r="D38" s="88"/>
      <c r="E38" s="88"/>
      <c r="F38" s="88"/>
      <c r="G38" s="88"/>
      <c r="H38" s="88"/>
      <c r="I38" s="88"/>
      <c r="J38" s="88"/>
      <c r="K38" s="88"/>
      <c r="L38" s="88"/>
      <c r="M38" s="88"/>
      <c r="N38" s="88"/>
      <c r="O38" s="88"/>
      <c r="P38" s="88"/>
    </row>
    <row r="39" spans="1:33">
      <c r="A39" s="88"/>
      <c r="B39" s="88"/>
      <c r="C39" s="88"/>
      <c r="D39" s="88"/>
      <c r="E39" s="88"/>
      <c r="F39" s="88"/>
      <c r="G39" s="88"/>
      <c r="H39" s="88"/>
      <c r="I39" s="88"/>
      <c r="J39" s="88"/>
      <c r="K39" s="88"/>
      <c r="L39" s="88"/>
      <c r="M39" s="88"/>
      <c r="N39" s="88"/>
      <c r="O39" s="88"/>
      <c r="P39" s="88"/>
    </row>
    <row r="40" spans="1:33">
      <c r="A40" s="88"/>
      <c r="B40" s="88"/>
      <c r="C40" s="90"/>
      <c r="D40" s="91"/>
      <c r="E40" s="91"/>
      <c r="F40" s="91"/>
      <c r="G40" s="91"/>
      <c r="H40" s="91"/>
      <c r="I40" s="91"/>
      <c r="J40" s="91"/>
      <c r="K40" s="91"/>
      <c r="L40" s="91"/>
      <c r="M40" s="91"/>
      <c r="N40" s="88"/>
      <c r="O40" s="88"/>
      <c r="P40" s="88"/>
    </row>
    <row r="41" spans="1:33">
      <c r="A41" s="88"/>
      <c r="B41" s="88"/>
      <c r="C41" s="92"/>
      <c r="D41" s="88"/>
      <c r="E41" s="88"/>
      <c r="F41" s="88"/>
      <c r="G41" s="88"/>
      <c r="H41" s="88"/>
      <c r="I41" s="88"/>
      <c r="J41" s="88"/>
      <c r="K41" s="88"/>
      <c r="L41" s="88"/>
      <c r="M41" s="88"/>
      <c r="N41" s="88"/>
      <c r="O41" s="88"/>
      <c r="P41" s="88"/>
    </row>
    <row r="42" spans="1:33">
      <c r="A42" s="88"/>
      <c r="B42" s="88"/>
      <c r="C42" s="92"/>
      <c r="D42" s="88"/>
      <c r="E42" s="88"/>
      <c r="F42" s="88"/>
      <c r="G42" s="88"/>
      <c r="H42" s="88"/>
      <c r="I42" s="88"/>
      <c r="J42" s="88"/>
      <c r="K42" s="88"/>
      <c r="L42" s="88"/>
      <c r="M42" s="88"/>
      <c r="N42" s="88"/>
      <c r="O42" s="88"/>
      <c r="P42" s="88"/>
    </row>
    <row r="43" spans="1:33" ht="18.75" customHeight="1">
      <c r="A43" s="88"/>
      <c r="B43" s="88"/>
      <c r="C43" s="93"/>
      <c r="D43" s="88"/>
      <c r="E43" s="88"/>
      <c r="F43" s="88"/>
      <c r="G43" s="88"/>
      <c r="H43" s="88"/>
      <c r="I43" s="88"/>
      <c r="J43" s="88"/>
      <c r="K43" s="88"/>
      <c r="L43" s="88"/>
      <c r="M43" s="88"/>
      <c r="N43" s="88"/>
      <c r="O43" s="88"/>
      <c r="P43" s="88"/>
    </row>
    <row r="44" spans="1:33" ht="6" customHeight="1">
      <c r="A44" s="88"/>
      <c r="B44" s="113"/>
      <c r="C44" s="112"/>
      <c r="D44" s="111"/>
      <c r="E44" s="111"/>
      <c r="F44" s="111"/>
      <c r="G44" s="111"/>
      <c r="H44" s="111"/>
      <c r="I44" s="111"/>
      <c r="J44" s="111"/>
      <c r="K44" s="111"/>
      <c r="L44" s="111"/>
      <c r="M44" s="111"/>
      <c r="N44" s="111"/>
      <c r="O44" s="111"/>
      <c r="P44" s="114"/>
      <c r="R44" s="125"/>
      <c r="S44" s="19"/>
      <c r="T44" s="19"/>
      <c r="U44" s="19"/>
      <c r="V44" s="19"/>
      <c r="W44" s="19"/>
      <c r="X44" s="19"/>
      <c r="Y44" s="19"/>
      <c r="Z44" s="19"/>
      <c r="AA44" s="19"/>
      <c r="AB44" s="19"/>
      <c r="AC44" s="19"/>
      <c r="AD44" s="19"/>
      <c r="AE44" s="19"/>
      <c r="AF44" s="126"/>
    </row>
    <row r="45" spans="1:33" ht="15" customHeight="1">
      <c r="A45" s="88"/>
      <c r="B45" s="115"/>
      <c r="C45" s="108"/>
      <c r="D45" s="108"/>
      <c r="E45" s="243" t="s">
        <v>73</v>
      </c>
      <c r="F45" s="244"/>
      <c r="G45" s="244"/>
      <c r="H45" s="244"/>
      <c r="I45" s="244"/>
      <c r="J45" s="244"/>
      <c r="K45" s="244"/>
      <c r="L45" s="244"/>
      <c r="M45" s="244"/>
      <c r="N45" s="244"/>
      <c r="O45" s="244"/>
      <c r="P45" s="116"/>
      <c r="R45" s="127"/>
      <c r="S45" s="119" t="s">
        <v>72</v>
      </c>
      <c r="T45" s="128"/>
      <c r="U45" s="120"/>
      <c r="V45" s="120"/>
      <c r="W45" s="129"/>
      <c r="X45" s="120"/>
      <c r="Y45" s="129"/>
      <c r="Z45" s="120"/>
      <c r="AA45" s="129"/>
      <c r="AB45" s="120"/>
      <c r="AC45" s="120"/>
      <c r="AD45" s="128"/>
      <c r="AE45" s="128"/>
      <c r="AF45" s="130"/>
    </row>
    <row r="46" spans="1:33" ht="18.75" customHeight="1">
      <c r="A46" s="88"/>
      <c r="B46" s="115"/>
      <c r="C46" s="110"/>
      <c r="D46" s="107"/>
      <c r="E46" s="108"/>
      <c r="F46" s="108"/>
      <c r="G46" s="108"/>
      <c r="H46" s="108"/>
      <c r="I46" s="108"/>
      <c r="J46" s="108"/>
      <c r="K46" s="108"/>
      <c r="L46" s="108"/>
      <c r="M46" s="108"/>
      <c r="N46" s="108"/>
      <c r="O46" s="108"/>
      <c r="P46" s="116"/>
      <c r="R46" s="127"/>
      <c r="S46" s="4"/>
      <c r="T46" s="4"/>
      <c r="U46" s="4"/>
      <c r="V46" s="4"/>
      <c r="W46" s="4"/>
      <c r="X46" s="4"/>
      <c r="Y46" s="4"/>
      <c r="Z46" s="4"/>
      <c r="AA46" s="4"/>
      <c r="AB46" s="4"/>
      <c r="AC46" s="4"/>
      <c r="AD46" s="4"/>
      <c r="AE46" s="4"/>
      <c r="AF46" s="130"/>
    </row>
    <row r="47" spans="1:33" ht="18.75" customHeight="1">
      <c r="A47" s="88"/>
      <c r="B47" s="115"/>
      <c r="C47" s="245" t="str">
        <f>IF(Front!D32= "","","Unit Size")</f>
        <v>Unit Size</v>
      </c>
      <c r="D47" s="245"/>
      <c r="E47" s="205" t="str">
        <f>IF(Front!D32= "","",VLOOKUP(VLOOKUP(Front!D32,Data!$B$3:$X$58,10,FALSE),Airflow!$BB$6:$BK$9,2,FALSE))</f>
        <v>Tap</v>
      </c>
      <c r="F47" s="205">
        <f>IFERROR(IF(VLOOKUP(VLOOKUP(Front!D32,Data!$B$3:$X$58,10,FALSE),Airflow!$BB$6:$BK$9,3,FALSE)= "","",VLOOKUP(VLOOKUP(Front!D32,Data!$B$3:$X$58,10,FALSE),Airflow!$BB$6:$BK$9,3,FALSE)),"")</f>
        <v>0.1</v>
      </c>
      <c r="G47" s="205">
        <f>IFERROR(IF(VLOOKUP(VLOOKUP(Front!D32,Data!$B$3:$X$58,10,FALSE),Airflow!$BB$6:$BK$9,4,FALSE)= "","",VLOOKUP(VLOOKUP(Front!D32,Data!$B$3:$X$58,10,FALSE),Airflow!$BB$6:$BK$9,4,FALSE)),"")</f>
        <v>0.2</v>
      </c>
      <c r="H47" s="205">
        <f>IFERROR(IF(VLOOKUP(VLOOKUP(Front!D32,Data!$B$3:$X$58,10,FALSE),Airflow!$BB$6:$BK$9,5,FALSE)= "","",VLOOKUP(VLOOKUP(Front!D32,Data!$B$3:$X$58,10,FALSE),Airflow!$BB$6:$BK$9,5,FALSE)),"")</f>
        <v>0.3</v>
      </c>
      <c r="I47" s="205">
        <f>IFERROR(IF(VLOOKUP(VLOOKUP(Front!D32,Data!$B$3:$X$58,10,FALSE),Airflow!$BB$6:$BK$9,6,FALSE)= "","",VLOOKUP(VLOOKUP(Front!D32,Data!$B$3:$X$58,10,FALSE),Airflow!$BB$6:$BK$9,6,FALSE)),"")</f>
        <v>0.4</v>
      </c>
      <c r="J47" s="205">
        <f>IFERROR(IF(VLOOKUP(VLOOKUP(Front!D32,Data!$B$3:$X$58,10,FALSE),Airflow!$BB$6:$BK$9,7,FALSE)= "","",VLOOKUP(VLOOKUP(Front!D32,Data!$B$3:$X$58,10,FALSE),Airflow!$BB$6:$BK$9,7,FALSE)),"")</f>
        <v>0.5</v>
      </c>
      <c r="K47" s="205">
        <f>IFERROR(IF(VLOOKUP(VLOOKUP(Front!D32,Data!$B$3:$X$58,10,FALSE),Airflow!$BB$6:$BK$9,8,FALSE)= "","",VLOOKUP(VLOOKUP(Front!D32,Data!$B$3:$X$58,10,FALSE),Airflow!$BB$6:$BK$9,8,FALSE)),"")</f>
        <v>0.6</v>
      </c>
      <c r="L47" s="205">
        <f>IFERROR(IF(VLOOKUP(VLOOKUP(Front!D32,Data!$B$3:$X$58,10,FALSE),Airflow!$BB$6:$BK$9,9,FALSE)= "","",VLOOKUP(VLOOKUP(Front!D32,Data!$B$3:$X$58,10,FALSE),Airflow!$BB$6:$BK$9,9,FALSE)),"")</f>
        <v>0.7</v>
      </c>
      <c r="M47" s="205">
        <f>IFERROR(IF(VLOOKUP(VLOOKUP(Front!D32,Data!$B$3:$X$58,10,FALSE),Airflow!$BB$6:$BK$9,10,FALSE)= "","",VLOOKUP(VLOOKUP(Front!D32,Data!$B$3:$X$58,10,FALSE),Airflow!$BB$6:$BK$9,10,FALSE)),"")</f>
        <v>0.8</v>
      </c>
      <c r="N47" s="205">
        <f>IFERROR(IF(VLOOKUP(VLOOKUP(Front!D32,Data!$B$3:$X$58,10,FALSE),Airflow!$BB$6:$BN$9,11,FALSE)= "","",VLOOKUP(VLOOKUP(Front!D32,Data!$B$3:$X$58,10,FALSE),Airflow!$BB$6:$BN$9,11,FALSE)),"")</f>
        <v>0.9</v>
      </c>
      <c r="O47" s="205">
        <f>IFERROR(IF(VLOOKUP(VLOOKUP(Front!D32,Data!$B$3:$X$58,10,FALSE),Airflow!$BB$6:$BN$9,12,FALSE)= "","",VLOOKUP(VLOOKUP(Front!D32,Data!$B$3:$X$58,10,FALSE),Airflow!$BB$6:$BN$9,12,FALSE)),"")</f>
        <v>1</v>
      </c>
      <c r="P47" s="206"/>
      <c r="Q47" s="195"/>
      <c r="R47" s="207"/>
      <c r="S47" s="241" t="str">
        <f>IF(Front!D39= "120 V, 60 Hz, 1 ph.","","Unit Size")</f>
        <v>Unit Size</v>
      </c>
      <c r="T47" s="241" t="str">
        <f>IF(Front!D39= "120 V, 60 Hz, 1 ph.","","Circuit")</f>
        <v>Circuit</v>
      </c>
      <c r="U47" s="242" t="str">
        <f>IF(Front!D39= "120 V, 60 Hz, 1 ph.","","Total Heat Capacity")</f>
        <v>Total Heat Capacity</v>
      </c>
      <c r="V47" s="241" t="str">
        <f>IF(Front!D39= "120 V, 60 Hz, 1 ph.","","Electric Heating capacity")</f>
        <v>Electric Heating capacity</v>
      </c>
      <c r="W47" s="241"/>
      <c r="X47" s="242" t="str">
        <f>IF(Front!D39= "120 V, 60 Hz, 1 ph.","","Blower Amps (A)")</f>
        <v>Blower Amps (A)</v>
      </c>
      <c r="Y47" s="242"/>
      <c r="Z47" s="242" t="str">
        <f>IF(Front!D39= "120 V, 60 Hz, 1 ph.","","Total Current (A)")</f>
        <v>Total Current (A)</v>
      </c>
      <c r="AA47" s="242"/>
      <c r="AB47" s="242" t="str">
        <f>IF(Front!D39= "120 V, 60 Hz, 1 ph.","","Minimum Circuit Ampacity (A)")</f>
        <v>Minimum Circuit Ampacity (A)</v>
      </c>
      <c r="AC47" s="242"/>
      <c r="AD47" s="242" t="str">
        <f>IF(Front!D39= "120 V, 60 Hz, 1 ph.","","Maximum Circuit Breaker size[2] (A)")</f>
        <v>Maximum Circuit Breaker size[2] (A)</v>
      </c>
      <c r="AE47" s="242"/>
      <c r="AF47" s="206"/>
      <c r="AG47" s="195"/>
    </row>
    <row r="48" spans="1:33" ht="18.75" customHeight="1">
      <c r="A48" s="88"/>
      <c r="B48" s="115"/>
      <c r="C48" s="245" t="str">
        <f>IF(Front!D32= "","",Front!D32)</f>
        <v>AMHE2D00S2N1</v>
      </c>
      <c r="D48" s="245"/>
      <c r="E48" s="208">
        <f>IFERROR(IF(VLOOKUP(VLOOKUP($C$48,Data!$B$3:$X$58,7,FALSE)&amp;"_"&amp;VLOOKUP($C$48,Data!$B$3:$X$58,3,FALSE)&amp;"_1",Airflow!$B$6:$N$25,3,FALSE)="","",VLOOKUP(VLOOKUP($C$48,Data!$B$3:$X$58,7,FALSE)&amp;"_"&amp;VLOOKUP($C$48,Data!$B$3:$X$58,3,FALSE)&amp;"_1",Airflow!$B$6:$N$25,3,FALSE)),"")</f>
        <v>1</v>
      </c>
      <c r="F48" s="208">
        <f>IFERROR(IF(VLOOKUP(VLOOKUP($C$48,Data!$B$3:$X$58,7,FALSE)&amp;"_"&amp;VLOOKUP($C$48,Data!$B$3:$X$58,3,FALSE)&amp;"_1",Airflow!$B$6:$N$25,4,FALSE)="","",VLOOKUP(VLOOKUP($C$48,Data!$B$3:$X$58,7,FALSE)&amp;"_"&amp;VLOOKUP($C$48,Data!$B$3:$X$58,3,FALSE)&amp;"_1",Airflow!$B$6:$N$25,4,FALSE)),"")</f>
        <v>368</v>
      </c>
      <c r="G48" s="208">
        <f>IFERROR(IF(VLOOKUP(VLOOKUP($C$48,Data!$B$3:$X$58,7,FALSE)&amp;"_"&amp;VLOOKUP($C$48,Data!$B$3:$X$58,3,FALSE)&amp;"_1",Airflow!$B$6:$N$25,5,FALSE)="","",VLOOKUP(VLOOKUP($C$48,Data!$B$3:$X$58,7,FALSE)&amp;"_"&amp;VLOOKUP($C$48,Data!$B$3:$X$58,3,FALSE)&amp;"_1",Airflow!$B$6:$N$25,5,FALSE)),"")</f>
        <v>317</v>
      </c>
      <c r="H48" s="208">
        <f>IFERROR(IF(VLOOKUP(VLOOKUP($C$48,Data!$B$3:$X$58,7,FALSE)&amp;"_"&amp;VLOOKUP($C$48,Data!$B$3:$X$58,3,FALSE)&amp;"_1",Airflow!$B$6:$N$25,6,FALSE)="","",VLOOKUP(VLOOKUP($C$48,Data!$B$3:$X$58,7,FALSE)&amp;"_"&amp;VLOOKUP($C$48,Data!$B$3:$X$58,3,FALSE)&amp;"_1",Airflow!$B$6:$N$25,6,FALSE)),"")</f>
        <v>244</v>
      </c>
      <c r="I48" s="208">
        <f>IFERROR(IF(VLOOKUP(VLOOKUP($C$48,Data!$B$3:$X$58,7,FALSE)&amp;"_"&amp;VLOOKUP($C$48,Data!$B$3:$X$58,3,FALSE)&amp;"_1",Airflow!$B$6:$N$25,7,FALSE)="","",VLOOKUP(VLOOKUP($C$48,Data!$B$3:$X$58,7,FALSE)&amp;"_"&amp;VLOOKUP($C$48,Data!$B$3:$X$58,3,FALSE)&amp;"_1",Airflow!$B$6:$N$25,7,FALSE)),"")</f>
        <v>196</v>
      </c>
      <c r="J48" s="208">
        <f>IFERROR(IF(VLOOKUP(VLOOKUP($C$48,Data!$B$3:$X$58,7,FALSE)&amp;"_"&amp;VLOOKUP($C$48,Data!$B$3:$X$58,3,FALSE)&amp;"_1",Airflow!$B$6:$N$25,8,FALSE)="","",VLOOKUP(VLOOKUP($C$48,Data!$B$3:$X$58,7,FALSE)&amp;"_"&amp;VLOOKUP($C$48,Data!$B$3:$X$58,3,FALSE)&amp;"_1",Airflow!$B$6:$N$25,8,FALSE)),"")</f>
        <v>197</v>
      </c>
      <c r="K48" s="208">
        <f>IFERROR(IF(VLOOKUP(VLOOKUP($C$48,Data!$B$3:$X$58,7,FALSE)&amp;"_"&amp;VLOOKUP($C$48,Data!$B$3:$X$58,3,FALSE)&amp;"_1",Airflow!$B$6:$N$25,9,FALSE)="","",VLOOKUP(VLOOKUP($C$48,Data!$B$3:$X$58,7,FALSE)&amp;"_"&amp;VLOOKUP($C$48,Data!$B$3:$X$58,3,FALSE)&amp;"_1",Airflow!$B$6:$N$25,9,FALSE)),"")</f>
        <v>196</v>
      </c>
      <c r="L48" s="208">
        <f>IFERROR(IF(VLOOKUP(VLOOKUP($C$48,Data!$B$3:$X$58,7,FALSE)&amp;"_"&amp;VLOOKUP($C$48,Data!$B$3:$X$58,3,FALSE)&amp;"_1",Airflow!$B$6:$N$25,10,FALSE)="","",VLOOKUP(VLOOKUP($C$48,Data!$B$3:$X$58,7,FALSE)&amp;"_"&amp;VLOOKUP($C$48,Data!$B$3:$X$58,3,FALSE)&amp;"_1",Airflow!$B$6:$N$25,10,FALSE)),"")</f>
        <v>196</v>
      </c>
      <c r="M48" s="208">
        <f>IFERROR(IF(VLOOKUP(VLOOKUP($C$48,Data!$B$3:$X$58,7,FALSE)&amp;"_"&amp;VLOOKUP($C$48,Data!$B$3:$X$58,3,FALSE)&amp;"_1",Airflow!$B$6:$N$25,11,FALSE)="","",VLOOKUP(VLOOKUP($C$48,Data!$B$3:$X$58,7,FALSE)&amp;"_"&amp;VLOOKUP($C$48,Data!$B$3:$X$58,3,FALSE)&amp;"_1",Airflow!$B$6:$N$25,11,FALSE)),"")</f>
        <v>197</v>
      </c>
      <c r="N48" s="208">
        <f>IFERROR(IF(VLOOKUP(VLOOKUP($C$48,Data!$B$3:$X$58,7,FALSE)&amp;"_"&amp;VLOOKUP($C$48,Data!$B$3:$X$58,3,FALSE)&amp;"_1",Airflow!$B$6:$N$25,12,FALSE)="","",VLOOKUP(VLOOKUP($C$48,Data!$B$3:$X$58,7,FALSE)&amp;"_"&amp;VLOOKUP($C$48,Data!$B$3:$X$58,3,FALSE)&amp;"_1",Airflow!$B$6:$N$25,12,FALSE)),"")</f>
        <v>196</v>
      </c>
      <c r="O48" s="208">
        <f>IFERROR(IF(VLOOKUP(VLOOKUP($C$48,Data!$B$3:$X$58,7,FALSE)&amp;"_"&amp;VLOOKUP($C$48,Data!$B$3:$X$58,3,FALSE)&amp;"_1",Airflow!$B$6:$N$25,13,FALSE)="","",VLOOKUP(VLOOKUP($C$48,Data!$B$3:$X$58,7,FALSE)&amp;"_"&amp;VLOOKUP($C$48,Data!$B$3:$X$58,3,FALSE)&amp;"_1",Airflow!$B$6:$N$25,13,FALSE)),"")</f>
        <v>196</v>
      </c>
      <c r="P48" s="206"/>
      <c r="Q48" s="209"/>
      <c r="R48" s="210"/>
      <c r="S48" s="241"/>
      <c r="T48" s="241"/>
      <c r="U48" s="242"/>
      <c r="V48" s="211" t="str">
        <f>IF(Front!D39= "120 V, 60 Hz, 1 ph.","","kW")</f>
        <v>kW</v>
      </c>
      <c r="W48" s="211" t="str">
        <f>IF(Front!D39= "120 V, 60 Hz, 1 ph.","","BTUH")</f>
        <v>BTUH</v>
      </c>
      <c r="X48" s="242"/>
      <c r="Y48" s="242"/>
      <c r="Z48" s="242"/>
      <c r="AA48" s="242"/>
      <c r="AB48" s="242"/>
      <c r="AC48" s="242"/>
      <c r="AD48" s="242"/>
      <c r="AE48" s="242"/>
      <c r="AF48" s="206"/>
      <c r="AG48" s="195"/>
    </row>
    <row r="49" spans="1:33" ht="18.75" customHeight="1">
      <c r="A49" s="34"/>
      <c r="B49" s="117"/>
      <c r="C49" s="212"/>
      <c r="D49" s="212"/>
      <c r="E49" s="208">
        <f>IFERROR(IF(VLOOKUP(VLOOKUP($C$48,Data!$B$3:$X$58,7,FALSE)&amp;"_"&amp;VLOOKUP($C$48,Data!$B$3:$X$58,3,FALSE)&amp;"_3",Airflow!$B$6:$N$25,3,FALSE)="","",VLOOKUP(VLOOKUP($C$48,Data!$B$3:$X$58,7,FALSE)&amp;"_"&amp;VLOOKUP($C$48,Data!$B$3:$X$58,3,FALSE)&amp;"_2",Airflow!$B$6:$N$25,3,FALSE)),"")</f>
        <v>2</v>
      </c>
      <c r="F49" s="208">
        <f>IFERROR(IF(VLOOKUP(VLOOKUP($C$48,Data!$B$3:$X$58,7,FALSE)&amp;"_"&amp;VLOOKUP($C$48,Data!$B$3:$X$58,3,FALSE)&amp;"_3",Airflow!$B$6:$N$25,4,FALSE)="","",VLOOKUP(VLOOKUP($C$48,Data!$B$3:$X$58,7,FALSE)&amp;"_"&amp;VLOOKUP($C$48,Data!$B$3:$X$58,3,FALSE)&amp;"_2",Airflow!$B$6:$N$25,4,FALSE)),"")</f>
        <v>522</v>
      </c>
      <c r="G49" s="208">
        <f>IFERROR(IF(VLOOKUP(VLOOKUP($C$48,Data!$B$3:$X$58,7,FALSE)&amp;"_"&amp;VLOOKUP($C$48,Data!$B$3:$X$58,3,FALSE)&amp;"_3",Airflow!$B$6:$N$25,5,FALSE)="","",VLOOKUP(VLOOKUP($C$48,Data!$B$3:$X$58,7,FALSE)&amp;"_"&amp;VLOOKUP($C$48,Data!$B$3:$X$58,3,FALSE)&amp;"_2",Airflow!$B$6:$N$25,5,FALSE)),"")</f>
        <v>470</v>
      </c>
      <c r="H49" s="208">
        <f>IFERROR(IF(VLOOKUP(VLOOKUP($C$48,Data!$B$3:$X$58,7,FALSE)&amp;"_"&amp;VLOOKUP($C$48,Data!$B$3:$X$58,3,FALSE)&amp;"_3",Airflow!$B$6:$N$25,6,FALSE)="","",VLOOKUP(VLOOKUP($C$48,Data!$B$3:$X$58,7,FALSE)&amp;"_"&amp;VLOOKUP($C$48,Data!$B$3:$X$58,3,FALSE)&amp;"_2",Airflow!$B$6:$N$25,6,FALSE)),"")</f>
        <v>433</v>
      </c>
      <c r="I49" s="208">
        <f>IFERROR(IF(VLOOKUP(VLOOKUP($C$48,Data!$B$3:$X$58,7,FALSE)&amp;"_"&amp;VLOOKUP($C$48,Data!$B$3:$X$58,3,FALSE)&amp;"_3",Airflow!$B$6:$N$25,7,FALSE)="","",VLOOKUP(VLOOKUP($C$48,Data!$B$3:$X$58,7,FALSE)&amp;"_"&amp;VLOOKUP($C$48,Data!$B$3:$X$58,3,FALSE)&amp;"_2",Airflow!$B$6:$N$25,7,FALSE)),"")</f>
        <v>379</v>
      </c>
      <c r="J49" s="208">
        <f>IFERROR(IF(VLOOKUP(VLOOKUP($C$48,Data!$B$3:$X$58,7,FALSE)&amp;"_"&amp;VLOOKUP($C$48,Data!$B$3:$X$58,3,FALSE)&amp;"_3",Airflow!$B$6:$N$25,8,FALSE)="","",VLOOKUP(VLOOKUP($C$48,Data!$B$3:$X$58,7,FALSE)&amp;"_"&amp;VLOOKUP($C$48,Data!$B$3:$X$58,3,FALSE)&amp;"_2",Airflow!$B$6:$N$25,8,FALSE)),"")</f>
        <v>339</v>
      </c>
      <c r="K49" s="208">
        <f>IFERROR(IF(VLOOKUP(VLOOKUP($C$48,Data!$B$3:$X$58,7,FALSE)&amp;"_"&amp;VLOOKUP($C$48,Data!$B$3:$X$58,3,FALSE)&amp;"_3",Airflow!$B$6:$N$25,9,FALSE)="","",VLOOKUP(VLOOKUP($C$48,Data!$B$3:$X$58,7,FALSE)&amp;"_"&amp;VLOOKUP($C$48,Data!$B$3:$X$58,3,FALSE)&amp;"_2",Airflow!$B$6:$N$25,9,FALSE)),"")</f>
        <v>339</v>
      </c>
      <c r="L49" s="208">
        <f>IFERROR(IF(VLOOKUP(VLOOKUP($C$48,Data!$B$3:$X$58,7,FALSE)&amp;"_"&amp;VLOOKUP($C$48,Data!$B$3:$X$58,3,FALSE)&amp;"_3",Airflow!$B$6:$N$25,10,FALSE)="","",VLOOKUP(VLOOKUP($C$48,Data!$B$3:$X$58,7,FALSE)&amp;"_"&amp;VLOOKUP($C$48,Data!$B$3:$X$58,3,FALSE)&amp;"_2",Airflow!$B$6:$N$25,10,FALSE)),"")</f>
        <v>340</v>
      </c>
      <c r="M49" s="208">
        <f>IFERROR(IF(VLOOKUP(VLOOKUP($C$48,Data!$B$3:$X$58,7,FALSE)&amp;"_"&amp;VLOOKUP($C$48,Data!$B$3:$X$58,3,FALSE)&amp;"_3",Airflow!$B$6:$N$25,11,FALSE)="","",VLOOKUP(VLOOKUP($C$48,Data!$B$3:$X$58,7,FALSE)&amp;"_"&amp;VLOOKUP($C$48,Data!$B$3:$X$58,3,FALSE)&amp;"_2",Airflow!$B$6:$N$25,11,FALSE)),"")</f>
        <v>260</v>
      </c>
      <c r="N49" s="208">
        <f>IFERROR(IF(VLOOKUP(VLOOKUP($C$48,Data!$B$3:$X$58,7,FALSE)&amp;"_"&amp;VLOOKUP($C$48,Data!$B$3:$X$58,3,FALSE)&amp;"_3",Airflow!$B$6:$N$25,12,FALSE)="","",VLOOKUP(VLOOKUP($C$48,Data!$B$3:$X$58,7,FALSE)&amp;"_"&amp;VLOOKUP($C$48,Data!$B$3:$X$58,3,FALSE)&amp;"_2",Airflow!$B$6:$N$25,12,FALSE)),"")</f>
        <v>261</v>
      </c>
      <c r="O49" s="208">
        <f>IFERROR(IF(VLOOKUP(VLOOKUP($C$48,Data!$B$3:$X$58,7,FALSE)&amp;"_"&amp;VLOOKUP($C$48,Data!$B$3:$X$58,3,FALSE)&amp;"_3",Airflow!$B$6:$N$25,13,FALSE)="","",VLOOKUP(VLOOKUP($C$48,Data!$B$3:$X$58,7,FALSE)&amp;"_"&amp;VLOOKUP($C$48,Data!$B$3:$X$58,3,FALSE)&amp;"_2",Airflow!$B$6:$N$25,13,FALSE)),"")</f>
        <v>260</v>
      </c>
      <c r="P49" s="206"/>
      <c r="Q49" s="209"/>
      <c r="R49" s="210"/>
      <c r="S49" s="241"/>
      <c r="T49" s="241"/>
      <c r="U49" s="242"/>
      <c r="V49" s="211" t="str">
        <f>IF(Front!D39= "120 V, 60 Hz, 1 ph.","","240 V[1]")</f>
        <v>240 V[1]</v>
      </c>
      <c r="W49" s="211" t="str">
        <f>IF(Front!D39= "120 V, 60 Hz, 1 ph.","","240 V[1]")</f>
        <v>240 V[1]</v>
      </c>
      <c r="X49" s="211" t="str">
        <f>IF(Front!D39= "120 V, 60 Hz, 1 ph.","","208 V")</f>
        <v>208 V</v>
      </c>
      <c r="Y49" s="211" t="str">
        <f>IF(Front!D39= "120 V, 60 Hz, 1 ph.","","240 V")</f>
        <v>240 V</v>
      </c>
      <c r="Z49" s="211" t="str">
        <f>IF(Front!D39= "120 V, 60 Hz, 1 ph.","","208 V")</f>
        <v>208 V</v>
      </c>
      <c r="AA49" s="211" t="str">
        <f>IF(Front!D39= "120 V, 60 Hz, 1 ph.","","240 V")</f>
        <v>240 V</v>
      </c>
      <c r="AB49" s="211" t="str">
        <f>IF(Front!D39= "120 V, 60 Hz, 1 ph.","","208 V")</f>
        <v>208 V</v>
      </c>
      <c r="AC49" s="211" t="str">
        <f>IF(Front!D39= "120 V, 60 Hz, 1 ph.","","240 V")</f>
        <v>240 V</v>
      </c>
      <c r="AD49" s="211" t="str">
        <f>IF(Front!D39= "120 V, 60 Hz, 1 ph.","","208 V")</f>
        <v>208 V</v>
      </c>
      <c r="AE49" s="211" t="str">
        <f>IF(Front!D39= "120 V, 60 Hz, 1 ph.","","240 V")</f>
        <v>240 V</v>
      </c>
      <c r="AF49" s="206"/>
      <c r="AG49" s="195"/>
    </row>
    <row r="50" spans="1:33" ht="18.75" customHeight="1">
      <c r="A50" s="94"/>
      <c r="B50" s="118"/>
      <c r="C50" s="212"/>
      <c r="D50" s="212"/>
      <c r="E50" s="208" t="str">
        <f>IFERROR(IF(VLOOKUP(VLOOKUP($C$48,Data!$B$3:$X$58,7,FALSE)&amp;"_"&amp;VLOOKUP($C$48,Data!$B$3:$X$58,3,FALSE)&amp;"_3",Airflow!$B$6:$N$25,3,FALSE)="","",VLOOKUP(VLOOKUP($C$48,Data!$B$3:$X$58,7,FALSE)&amp;"_"&amp;VLOOKUP($C$48,Data!$B$3:$X$58,3,FALSE)&amp;"_3",Airflow!$B$6:$N$25,3,FALSE)),"")</f>
        <v>3^</v>
      </c>
      <c r="F50" s="208">
        <f>IFERROR(IF(VLOOKUP(VLOOKUP($C$48,Data!$B$3:$X$58,7,FALSE)&amp;"_"&amp;VLOOKUP($C$48,Data!$B$3:$X$58,3,FALSE)&amp;"_3",Airflow!$B$6:$N$25,4,FALSE)="","",VLOOKUP(VLOOKUP($C$48,Data!$B$3:$X$58,7,FALSE)&amp;"_"&amp;VLOOKUP($C$48,Data!$B$3:$X$58,3,FALSE)&amp;"_3",Airflow!$B$6:$N$25,4,FALSE)),"")</f>
        <v>711</v>
      </c>
      <c r="G50" s="208">
        <f>IFERROR(IF(VLOOKUP(VLOOKUP($C$48,Data!$B$3:$X$58,7,FALSE)&amp;"_"&amp;VLOOKUP($C$48,Data!$B$3:$X$58,3,FALSE)&amp;"_3",Airflow!$B$6:$N$25,5,FALSE)="","",VLOOKUP(VLOOKUP($C$48,Data!$B$3:$X$58,7,FALSE)&amp;"_"&amp;VLOOKUP($C$48,Data!$B$3:$X$58,3,FALSE)&amp;"_3",Airflow!$B$6:$N$25,5,FALSE)),"")</f>
        <v>675</v>
      </c>
      <c r="H50" s="208">
        <f>IFERROR(IF(VLOOKUP(VLOOKUP($C$48,Data!$B$3:$X$58,7,FALSE)&amp;"_"&amp;VLOOKUP($C$48,Data!$B$3:$X$58,3,FALSE)&amp;"_3",Airflow!$B$6:$N$25,6,FALSE)="","",VLOOKUP(VLOOKUP($C$48,Data!$B$3:$X$58,7,FALSE)&amp;"_"&amp;VLOOKUP($C$48,Data!$B$3:$X$58,3,FALSE)&amp;"_3",Airflow!$B$6:$N$25,6,FALSE)),"")</f>
        <v>634</v>
      </c>
      <c r="I50" s="208">
        <f>IFERROR(IF(VLOOKUP(VLOOKUP($C$48,Data!$B$3:$X$58,7,FALSE)&amp;"_"&amp;VLOOKUP($C$48,Data!$B$3:$X$58,3,FALSE)&amp;"_3",Airflow!$B$6:$N$25,7,FALSE)="","",VLOOKUP(VLOOKUP($C$48,Data!$B$3:$X$58,7,FALSE)&amp;"_"&amp;VLOOKUP($C$48,Data!$B$3:$X$58,3,FALSE)&amp;"_3",Airflow!$B$6:$N$25,7,FALSE)),"")</f>
        <v>604</v>
      </c>
      <c r="J50" s="208">
        <f>IFERROR(IF(VLOOKUP(VLOOKUP($C$48,Data!$B$3:$X$58,7,FALSE)&amp;"_"&amp;VLOOKUP($C$48,Data!$B$3:$X$58,3,FALSE)&amp;"_3",Airflow!$B$6:$N$25,8,FALSE)="","",VLOOKUP(VLOOKUP($C$48,Data!$B$3:$X$58,7,FALSE)&amp;"_"&amp;VLOOKUP($C$48,Data!$B$3:$X$58,3,FALSE)&amp;"_3",Airflow!$B$6:$N$25,8,FALSE)),"")</f>
        <v>565</v>
      </c>
      <c r="K50" s="208">
        <f>IFERROR(IF(VLOOKUP(VLOOKUP($C$48,Data!$B$3:$X$58,7,FALSE)&amp;"_"&amp;VLOOKUP($C$48,Data!$B$3:$X$58,3,FALSE)&amp;"_3",Airflow!$B$6:$N$25,9,FALSE)="","",VLOOKUP(VLOOKUP($C$48,Data!$B$3:$X$58,7,FALSE)&amp;"_"&amp;VLOOKUP($C$48,Data!$B$3:$X$58,3,FALSE)&amp;"_3",Airflow!$B$6:$N$25,9,FALSE)),"")</f>
        <v>525</v>
      </c>
      <c r="L50" s="208">
        <f>IFERROR(IF(VLOOKUP(VLOOKUP($C$48,Data!$B$3:$X$58,7,FALSE)&amp;"_"&amp;VLOOKUP($C$48,Data!$B$3:$X$58,3,FALSE)&amp;"_3",Airflow!$B$6:$N$25,10,FALSE)="","",VLOOKUP(VLOOKUP($C$48,Data!$B$3:$X$58,7,FALSE)&amp;"_"&amp;VLOOKUP($C$48,Data!$B$3:$X$58,3,FALSE)&amp;"_3",Airflow!$B$6:$N$25,10,FALSE)),"")</f>
        <v>493</v>
      </c>
      <c r="M50" s="208">
        <f>IFERROR(IF(VLOOKUP(VLOOKUP($C$48,Data!$B$3:$X$58,7,FALSE)&amp;"_"&amp;VLOOKUP($C$48,Data!$B$3:$X$58,3,FALSE)&amp;"_3",Airflow!$B$6:$N$25,11,FALSE)="","",VLOOKUP(VLOOKUP($C$48,Data!$B$3:$X$58,7,FALSE)&amp;"_"&amp;VLOOKUP($C$48,Data!$B$3:$X$58,3,FALSE)&amp;"_3",Airflow!$B$6:$N$25,11,FALSE)),"")</f>
        <v>449</v>
      </c>
      <c r="N50" s="208">
        <f>IFERROR(IF(VLOOKUP(VLOOKUP($C$48,Data!$B$3:$X$58,7,FALSE)&amp;"_"&amp;VLOOKUP($C$48,Data!$B$3:$X$58,3,FALSE)&amp;"_3",Airflow!$B$6:$N$25,12,FALSE)="","",VLOOKUP(VLOOKUP($C$48,Data!$B$3:$X$58,7,FALSE)&amp;"_"&amp;VLOOKUP($C$48,Data!$B$3:$X$58,3,FALSE)&amp;"_3",Airflow!$B$6:$N$25,12,FALSE)),"")</f>
        <v>450</v>
      </c>
      <c r="O50" s="208">
        <f>IFERROR(IF(VLOOKUP(VLOOKUP($C$48,Data!$B$3:$X$58,7,FALSE)&amp;"_"&amp;VLOOKUP($C$48,Data!$B$3:$X$58,3,FALSE)&amp;"_3",Airflow!$B$6:$N$25,13,FALSE)="","",VLOOKUP(VLOOKUP($C$48,Data!$B$3:$X$58,7,FALSE)&amp;"_"&amp;VLOOKUP($C$48,Data!$B$3:$X$58,3,FALSE)&amp;"_3",Airflow!$B$6:$N$25,13,FALSE)),"")</f>
        <v>449</v>
      </c>
      <c r="P50" s="206"/>
      <c r="Q50" s="209"/>
      <c r="R50" s="210"/>
      <c r="S50" s="205" t="str">
        <f>IF(Front!D39= "120 V, 60 Hz, 1 ph.","",Front!D32)</f>
        <v>AMHE2D00S2N1</v>
      </c>
      <c r="T50" s="208" t="str">
        <f>IFERROR(IF(VLOOKUP(VLOOKUP($S50,Data!$B$3:$X$58,10,FALSE)&amp;"_"&amp;VLOOKUP($S50,Data!$B$3:$X$58,7,FALSE)&amp;"_"&amp;VLOOKUP($S50,Data!$B$3:$X$58,9,FALSE)&amp;"_1",'Electrial data'!$C$17:P$48,3,FALSE)="","",VLOOKUP(VLOOKUP($S50,Data!$B$3:$X$58,10,FALSE)&amp;"_"&amp;VLOOKUP($S50,Data!$B$3:$X$58,7,FALSE)&amp;"_"&amp;VLOOKUP($S50,Data!$B$3:$X$58,9,FALSE)&amp;"_1",'Electrial data'!$C$17:$P$48,3,FALSE)),"")</f>
        <v>CKT 1</v>
      </c>
      <c r="U50" s="208">
        <f>IFERROR(IF(VLOOKUP(VLOOKUP($S50,Data!$B$3:$X$58,10,FALSE)&amp;"_"&amp;VLOOKUP($S50,Data!$B$3:$X$58,7,FALSE)&amp;"_"&amp;VLOOKUP($S50,Data!$B$3:$X$58,9,FALSE)&amp;"_1",'Electrial data'!$C$17:Q$48,4,FALSE)="","",VLOOKUP(VLOOKUP($S50,Data!$B$3:$X$58,10,FALSE)&amp;"_"&amp;VLOOKUP($S50,Data!$B$3:$X$58,7,FALSE)&amp;"_"&amp;VLOOKUP($S50,Data!$B$3:$X$58,9,FALSE)&amp;"_1",'Electrial data'!$C$17:$P$48,4,FALSE)),"")</f>
        <v>0</v>
      </c>
      <c r="V50" s="208">
        <f>IFERROR(IF(VLOOKUP(VLOOKUP($S50,Data!$B$3:$X$58,10,FALSE)&amp;"_"&amp;VLOOKUP($S50,Data!$B$3:$X$58,7,FALSE)&amp;"_"&amp;VLOOKUP($S50,Data!$B$3:$X$58,9,FALSE)&amp;"_1",'Electrial data'!$C$17:R$48,5,FALSE)="","",VLOOKUP(VLOOKUP($S50,Data!$B$3:$X$58,10,FALSE)&amp;"_"&amp;VLOOKUP($S50,Data!$B$3:$X$58,7,FALSE)&amp;"_"&amp;VLOOKUP($S50,Data!$B$3:$X$58,9,FALSE)&amp;"_1",'Electrial data'!$C$17:$P$48,5,FALSE)),"")</f>
        <v>0</v>
      </c>
      <c r="W50" s="208">
        <f>IFERROR(IF(VLOOKUP(VLOOKUP($S50,Data!$B$3:$X$58,10,FALSE)&amp;"_"&amp;VLOOKUP($S50,Data!$B$3:$X$58,7,FALSE)&amp;"_"&amp;VLOOKUP($S50,Data!$B$3:$X$58,9,FALSE)&amp;"_1",'Electrial data'!$C$17:S$48,6,FALSE)="","",VLOOKUP(VLOOKUP($S50,Data!$B$3:$X$58,10,FALSE)&amp;"_"&amp;VLOOKUP($S50,Data!$B$3:$X$58,7,FALSE)&amp;"_"&amp;VLOOKUP($S50,Data!$B$3:$X$58,9,FALSE)&amp;"_1",'Electrial data'!$C$17:$P$48,6,FALSE)),"")</f>
        <v>0</v>
      </c>
      <c r="X50" s="208">
        <f>IFERROR(IF(VLOOKUP(VLOOKUP($S50,Data!$B$3:$X$58,10,FALSE)&amp;"_"&amp;VLOOKUP($S50,Data!$B$3:$X$58,7,FALSE)&amp;"_"&amp;VLOOKUP($S50,Data!$B$3:$X$58,9,FALSE)&amp;"_1",'Electrial data'!$C$17:R$48,7,FALSE)="","",VLOOKUP(VLOOKUP($S50,Data!$B$3:$X$58,10,FALSE)&amp;"_"&amp;VLOOKUP($S50,Data!$B$3:$X$58,7,FALSE)&amp;"_"&amp;VLOOKUP($S50,Data!$B$3:$X$58,9,FALSE)&amp;"_1",'Electrial data'!$C$17:$P$48,7,FALSE)),"")</f>
        <v>2.7</v>
      </c>
      <c r="Y50" s="208">
        <f>IFERROR(IF(VLOOKUP(VLOOKUP($S50,Data!$B$3:$X$58,10,FALSE)&amp;"_"&amp;VLOOKUP($S50,Data!$B$3:$X$58,7,FALSE)&amp;"_"&amp;VLOOKUP($S50,Data!$B$3:$X$58,9,FALSE)&amp;"_1",'Electrial data'!$C$17:S$48,8,FALSE)="","",VLOOKUP(VLOOKUP($S50,Data!$B$3:$X$58,10,FALSE)&amp;"_"&amp;VLOOKUP($S50,Data!$B$3:$X$58,7,FALSE)&amp;"_"&amp;VLOOKUP($S50,Data!$B$3:$X$58,9,FALSE)&amp;"_1",'Electrial data'!$C$17:$P$48,8,FALSE)),"")</f>
        <v>2.6</v>
      </c>
      <c r="Z50" s="208">
        <f>IFERROR(IF(VLOOKUP(VLOOKUP($S50,Data!$B$3:$X$58,10,FALSE)&amp;"_"&amp;VLOOKUP($S50,Data!$B$3:$X$58,7,FALSE)&amp;"_"&amp;VLOOKUP($S50,Data!$B$3:$X$58,9,FALSE)&amp;"_1",'Electrial data'!$C$17:T$48,9,FALSE)="","",VLOOKUP(VLOOKUP($S50,Data!$B$3:$X$58,10,FALSE)&amp;"_"&amp;VLOOKUP($S50,Data!$B$3:$X$58,7,FALSE)&amp;"_"&amp;VLOOKUP($S50,Data!$B$3:$X$58,9,FALSE)&amp;"_1",'Electrial data'!$C$17:$P$48,9,FALSE)),"")</f>
        <v>2.7</v>
      </c>
      <c r="AA50" s="208">
        <f>IFERROR(IF(VLOOKUP(VLOOKUP($S50,Data!$B$3:$X$58,10,FALSE)&amp;"_"&amp;VLOOKUP($S50,Data!$B$3:$X$58,7,FALSE)&amp;"_"&amp;VLOOKUP($S50,Data!$B$3:$X$58,9,FALSE)&amp;"_1",'Electrial data'!$C$17:U$48,10,FALSE)="","",VLOOKUP(VLOOKUP($S50,Data!$B$3:$X$58,10,FALSE)&amp;"_"&amp;VLOOKUP($S50,Data!$B$3:$X$58,7,FALSE)&amp;"_"&amp;VLOOKUP($S50,Data!$B$3:$X$58,9,FALSE)&amp;"_1",'Electrial data'!$C$17:$P$48,10,FALSE)),"")</f>
        <v>2.6</v>
      </c>
      <c r="AB50" s="208">
        <f>IFERROR(IF(VLOOKUP(VLOOKUP($S50,Data!$B$3:$X$58,10,FALSE)&amp;"_"&amp;VLOOKUP($S50,Data!$B$3:$X$58,7,FALSE)&amp;"_"&amp;VLOOKUP($S50,Data!$B$3:$X$58,9,FALSE)&amp;"_1",'Electrial data'!$C$17:V$48,11,FALSE)="","",VLOOKUP(VLOOKUP($S50,Data!$B$3:$X$58,10,FALSE)&amp;"_"&amp;VLOOKUP($S50,Data!$B$3:$X$58,7,FALSE)&amp;"_"&amp;VLOOKUP($S50,Data!$B$3:$X$58,9,FALSE)&amp;"_1",'Electrial data'!$C$17:$P$48,11,FALSE)),"")</f>
        <v>3.4</v>
      </c>
      <c r="AC50" s="208">
        <f>IFERROR(IF(VLOOKUP(VLOOKUP($S50,Data!$B$3:$X$58,10,FALSE)&amp;"_"&amp;VLOOKUP($S50,Data!$B$3:$X$58,7,FALSE)&amp;"_"&amp;VLOOKUP($S50,Data!$B$3:$X$58,9,FALSE)&amp;"_1",'Electrial data'!$C$17:W$48,12,FALSE)="","",VLOOKUP(VLOOKUP($S50,Data!$B$3:$X$58,10,FALSE)&amp;"_"&amp;VLOOKUP($S50,Data!$B$3:$X$58,7,FALSE)&amp;"_"&amp;VLOOKUP($S50,Data!$B$3:$X$58,9,FALSE)&amp;"_1",'Electrial data'!$C$17:$P$48,12,FALSE)),"")</f>
        <v>3.3</v>
      </c>
      <c r="AD50" s="208">
        <f>IFERROR(IF(VLOOKUP(VLOOKUP($S50,Data!$B$3:$X$58,10,FALSE)&amp;"_"&amp;VLOOKUP($S50,Data!$B$3:$X$58,7,FALSE)&amp;"_"&amp;VLOOKUP($S50,Data!$B$3:$X$58,9,FALSE)&amp;"_1",'Electrial data'!$C$17:X$48,13,FALSE)="","",VLOOKUP(VLOOKUP($S50,Data!$B$3:$X$58,10,FALSE)&amp;"_"&amp;VLOOKUP($S50,Data!$B$3:$X$58,7,FALSE)&amp;"_"&amp;VLOOKUP($S50,Data!$B$3:$X$58,9,FALSE)&amp;"_1",'Electrial data'!$C$17:$P$48,13,FALSE)),"")</f>
        <v>15</v>
      </c>
      <c r="AE50" s="208">
        <f>IFERROR(IF(VLOOKUP(VLOOKUP($S50,Data!$B$3:$X$58,10,FALSE)&amp;"_"&amp;VLOOKUP($S50,Data!$B$3:$X$58,7,FALSE)&amp;"_"&amp;VLOOKUP($S50,Data!$B$3:$X$58,9,FALSE)&amp;"_1",'Electrial data'!$C$17:Y$48,14,FALSE)="","",VLOOKUP(VLOOKUP($S50,Data!$B$3:$X$58,10,FALSE)&amp;"_"&amp;VLOOKUP($S50,Data!$B$3:$X$58,7,FALSE)&amp;"_"&amp;VLOOKUP($S50,Data!$B$3:$X$58,9,FALSE)&amp;"_1",'Electrial data'!$C$17:$P$48,14,FALSE)),"")</f>
        <v>15</v>
      </c>
      <c r="AF50" s="206"/>
      <c r="AG50" s="195"/>
    </row>
    <row r="51" spans="1:33" ht="18.75" customHeight="1">
      <c r="A51" s="88"/>
      <c r="B51" s="115"/>
      <c r="C51" s="212"/>
      <c r="D51" s="212"/>
      <c r="E51" s="208" t="str">
        <f>IFERROR(IF(VLOOKUP(VLOOKUP($C$48,Data!$B$3:$X$58,7,FALSE)&amp;"_"&amp;VLOOKUP($C$48,Data!$B$3:$X$58,3,FALSE)&amp;"_4",Airflow!$B$6:$N$25,3,FALSE)="","",VLOOKUP(VLOOKUP($C$48,Data!$B$3:$X$58,7,FALSE)&amp;"_"&amp;VLOOKUP($C$48,Data!$B$3:$X$58,3,FALSE)&amp;"_4",Airflow!$B$6:$N$25,3,FALSE)),"")</f>
        <v>4#</v>
      </c>
      <c r="F51" s="208">
        <f>IFERROR(IF(VLOOKUP(VLOOKUP($C$48,Data!$B$3:$X$58,7,FALSE)&amp;"_"&amp;VLOOKUP($C$48,Data!$B$3:$X$58,3,FALSE)&amp;"_4",Airflow!$B$6:$N$25,4,FALSE)="","",VLOOKUP(VLOOKUP($C$48,Data!$B$3:$X$58,7,FALSE)&amp;"_"&amp;VLOOKUP($C$48,Data!$B$3:$X$58,3,FALSE)&amp;"_4",Airflow!$B$6:$N$25,4,FALSE)),"")</f>
        <v>837</v>
      </c>
      <c r="G51" s="208">
        <f>IFERROR(IF(VLOOKUP(VLOOKUP($C$48,Data!$B$3:$X$58,7,FALSE)&amp;"_"&amp;VLOOKUP($C$48,Data!$B$3:$X$58,3,FALSE)&amp;"_4",Airflow!$B$6:$N$25,5,FALSE)="","",VLOOKUP(VLOOKUP($C$48,Data!$B$3:$X$58,7,FALSE)&amp;"_"&amp;VLOOKUP($C$48,Data!$B$3:$X$58,3,FALSE)&amp;"_4",Airflow!$B$6:$N$25,5,FALSE)),"")</f>
        <v>801</v>
      </c>
      <c r="H51" s="208">
        <f>IFERROR(IF(VLOOKUP(VLOOKUP($C$48,Data!$B$3:$X$58,7,FALSE)&amp;"_"&amp;VLOOKUP($C$48,Data!$B$3:$X$58,3,FALSE)&amp;"_4",Airflow!$B$6:$N$25,6,FALSE)="","",VLOOKUP(VLOOKUP($C$48,Data!$B$3:$X$58,7,FALSE)&amp;"_"&amp;VLOOKUP($C$48,Data!$B$3:$X$58,3,FALSE)&amp;"_4",Airflow!$B$6:$N$25,6,FALSE)),"")</f>
        <v>774</v>
      </c>
      <c r="I51" s="208">
        <f>IFERROR(IF(VLOOKUP(VLOOKUP($C$48,Data!$B$3:$X$58,7,FALSE)&amp;"_"&amp;VLOOKUP($C$48,Data!$B$3:$X$58,3,FALSE)&amp;"_4",Airflow!$B$6:$N$25,7,FALSE)="","",VLOOKUP(VLOOKUP($C$48,Data!$B$3:$X$58,7,FALSE)&amp;"_"&amp;VLOOKUP($C$48,Data!$B$3:$X$58,3,FALSE)&amp;"_4",Airflow!$B$6:$N$25,7,FALSE)),"")</f>
        <v>738</v>
      </c>
      <c r="J51" s="208">
        <f>IFERROR(IF(VLOOKUP(VLOOKUP($C$48,Data!$B$3:$X$58,7,FALSE)&amp;"_"&amp;VLOOKUP($C$48,Data!$B$3:$X$58,3,FALSE)&amp;"_4",Airflow!$B$6:$N$25,8,FALSE)="","",VLOOKUP(VLOOKUP($C$48,Data!$B$3:$X$58,7,FALSE)&amp;"_"&amp;VLOOKUP($C$48,Data!$B$3:$X$58,3,FALSE)&amp;"_4",Airflow!$B$6:$N$25,8,FALSE)),"")</f>
        <v>705</v>
      </c>
      <c r="K51" s="208">
        <f>IFERROR(IF(VLOOKUP(VLOOKUP($C$48,Data!$B$3:$X$58,7,FALSE)&amp;"_"&amp;VLOOKUP($C$48,Data!$B$3:$X$58,3,FALSE)&amp;"_4",Airflow!$B$6:$N$25,9,FALSE)="","",VLOOKUP(VLOOKUP($C$48,Data!$B$3:$X$58,7,FALSE)&amp;"_"&amp;VLOOKUP($C$48,Data!$B$3:$X$58,3,FALSE)&amp;"_4",Airflow!$B$6:$N$25,9,FALSE)),"")</f>
        <v>676</v>
      </c>
      <c r="L51" s="208">
        <f>IFERROR(IF(VLOOKUP(VLOOKUP($C$48,Data!$B$3:$X$58,7,FALSE)&amp;"_"&amp;VLOOKUP($C$48,Data!$B$3:$X$58,3,FALSE)&amp;"_4",Airflow!$B$6:$N$25,10,FALSE)="","",VLOOKUP(VLOOKUP($C$48,Data!$B$3:$X$58,7,FALSE)&amp;"_"&amp;VLOOKUP($C$48,Data!$B$3:$X$58,3,FALSE)&amp;"_4",Airflow!$B$6:$N$25,10,FALSE)),"")</f>
        <v>645</v>
      </c>
      <c r="M51" s="208">
        <f>IFERROR(IF(VLOOKUP(VLOOKUP($C$48,Data!$B$3:$X$58,7,FALSE)&amp;"_"&amp;VLOOKUP($C$48,Data!$B$3:$X$58,3,FALSE)&amp;"_4",Airflow!$B$6:$N$25,11,FALSE)="","",VLOOKUP(VLOOKUP($C$48,Data!$B$3:$X$58,7,FALSE)&amp;"_"&amp;VLOOKUP($C$48,Data!$B$3:$X$58,3,FALSE)&amp;"_4",Airflow!$B$6:$N$25,11,FALSE)),"")</f>
        <v>614</v>
      </c>
      <c r="N51" s="208">
        <f>IFERROR(IF(VLOOKUP(VLOOKUP($C$48,Data!$B$3:$X$58,7,FALSE)&amp;"_"&amp;VLOOKUP($C$48,Data!$B$3:$X$58,3,FALSE)&amp;"_4",Airflow!$B$6:$N$25,12,FALSE)="","",VLOOKUP(VLOOKUP($C$48,Data!$B$3:$X$58,7,FALSE)&amp;"_"&amp;VLOOKUP($C$48,Data!$B$3:$X$58,3,FALSE)&amp;"_4",Airflow!$B$6:$N$25,12,FALSE)),"")</f>
        <v>607</v>
      </c>
      <c r="O51" s="208">
        <f>IFERROR(IF(VLOOKUP(VLOOKUP($C$48,Data!$B$3:$X$58,7,FALSE)&amp;"_"&amp;VLOOKUP($C$48,Data!$B$3:$X$58,3,FALSE)&amp;"_4",Airflow!$B$6:$N$25,13,FALSE)="","",VLOOKUP(VLOOKUP($C$48,Data!$B$3:$X$58,7,FALSE)&amp;"_"&amp;VLOOKUP($C$48,Data!$B$3:$X$58,3,FALSE)&amp;"_4",Airflow!$B$6:$N$25,13,FALSE)),"")</f>
        <v>605</v>
      </c>
      <c r="P51" s="206"/>
      <c r="Q51" s="195"/>
      <c r="R51" s="207"/>
      <c r="S51" s="213"/>
      <c r="T51" s="208" t="str">
        <f>IFERROR(IF(VLOOKUP(VLOOKUP($S50,Data!$B$3:$X$58,10,FALSE)&amp;"_"&amp;VLOOKUP($S50,Data!$B$3:$X$58,7,FALSE)&amp;"_"&amp;VLOOKUP($S50,Data!$B$3:$X$58,9,FALSE)&amp;"_2",'Electrial data'!$C$17:P$48,3,FALSE)="","",VLOOKUP(VLOOKUP($S50,Data!$B$3:$X$58,10,FALSE)&amp;"_"&amp;VLOOKUP($S50,Data!$B$3:$X$58,7,FALSE)&amp;"_"&amp;VLOOKUP($S50,Data!$B$3:$X$58,9,FALSE)&amp;"_2",'Electrial data'!$C$17:$P$48,3,FALSE)),"")</f>
        <v/>
      </c>
      <c r="U51" s="208" t="str">
        <f>IFERROR(IF(VLOOKUP(VLOOKUP($S50,Data!$B$3:$X$58,10,FALSE)&amp;"_"&amp;VLOOKUP($S50,Data!$B$3:$X$58,7,FALSE)&amp;"_"&amp;VLOOKUP($S50,Data!$B$3:$X$58,9,FALSE)&amp;"_2",'Electrial data'!$C$17:Q$48,4,FALSE)="","",VLOOKUP(VLOOKUP($S50,Data!$B$3:$X$58,10,FALSE)&amp;"_"&amp;VLOOKUP($S50,Data!$B$3:$X$58,7,FALSE)&amp;"_"&amp;VLOOKUP($S50,Data!$B$3:$X$58,9,FALSE)&amp;"_2",'Electrial data'!$C$17:$P$48,4,FALSE)),"")</f>
        <v/>
      </c>
      <c r="V51" s="208" t="str">
        <f>IFERROR(IF(VLOOKUP(VLOOKUP($S50,Data!$B$3:$X$58,10,FALSE)&amp;"_"&amp;VLOOKUP($S50,Data!$B$3:$X$58,7,FALSE)&amp;"_"&amp;VLOOKUP($S50,Data!$B$3:$X$58,9,FALSE)&amp;"_2",'Electrial data'!$C$17:R$48,5,FALSE)="","",VLOOKUP(VLOOKUP($S50,Data!$B$3:$X$58,10,FALSE)&amp;"_"&amp;VLOOKUP($S50,Data!$B$3:$X$58,7,FALSE)&amp;"_"&amp;VLOOKUP($S50,Data!$B$3:$X$58,9,FALSE)&amp;"_2",'Electrial data'!$C$17:$P$48,5,FALSE)),"")</f>
        <v/>
      </c>
      <c r="W51" s="208" t="str">
        <f>IFERROR(IF(VLOOKUP(VLOOKUP($S50,Data!$B$3:$X$58,10,FALSE)&amp;"_"&amp;VLOOKUP($S50,Data!$B$3:$X$58,7,FALSE)&amp;"_"&amp;VLOOKUP($S50,Data!$B$3:$X$58,9,FALSE)&amp;"_2",'Electrial data'!$C$17:S$48,6,FALSE)="","",VLOOKUP(VLOOKUP($S50,Data!$B$3:$X$58,10,FALSE)&amp;"_"&amp;VLOOKUP($S50,Data!$B$3:$X$58,7,FALSE)&amp;"_"&amp;VLOOKUP($S50,Data!$B$3:$X$58,9,FALSE)&amp;"_2",'Electrial data'!$C$17:$P$48,6,FALSE)),"")</f>
        <v/>
      </c>
      <c r="X51" s="208" t="str">
        <f>IFERROR(IF(VLOOKUP(VLOOKUP($S50,Data!$B$3:$X$58,10,FALSE)&amp;"_"&amp;VLOOKUP($S50,Data!$B$3:$X$58,7,FALSE)&amp;"_"&amp;VLOOKUP($S50,Data!$B$3:$X$58,9,FALSE)&amp;"_2",'Electrial data'!$C$17:R$48,7,FALSE)="","",VLOOKUP(VLOOKUP($S50,Data!$B$3:$X$58,10,FALSE)&amp;"_"&amp;VLOOKUP($S50,Data!$B$3:$X$58,7,FALSE)&amp;"_"&amp;VLOOKUP($S50,Data!$B$3:$X$58,9,FALSE)&amp;"_2",'Electrial data'!$C$17:$P$48,7,FALSE)),"")</f>
        <v/>
      </c>
      <c r="Y51" s="208" t="str">
        <f>IFERROR(IF(VLOOKUP(VLOOKUP($S50,Data!$B$3:$X$58,10,FALSE)&amp;"_"&amp;VLOOKUP($S50,Data!$B$3:$X$58,7,FALSE)&amp;"_"&amp;VLOOKUP($S50,Data!$B$3:$X$58,9,FALSE)&amp;"_2",'Electrial data'!$C$17:S$48,8,FALSE)="","",VLOOKUP(VLOOKUP($S50,Data!$B$3:$X$58,10,FALSE)&amp;"_"&amp;VLOOKUP($S50,Data!$B$3:$X$58,7,FALSE)&amp;"_"&amp;VLOOKUP($S50,Data!$B$3:$X$58,9,FALSE)&amp;"_2",'Electrial data'!$C$17:$P$48,8,FALSE)),"")</f>
        <v/>
      </c>
      <c r="Z51" s="208" t="str">
        <f>IFERROR(IF(VLOOKUP(VLOOKUP($S50,Data!$B$3:$X$58,10,FALSE)&amp;"_"&amp;VLOOKUP($S50,Data!$B$3:$X$58,7,FALSE)&amp;"_"&amp;VLOOKUP($S50,Data!$B$3:$X$58,9,FALSE)&amp;"_2",'Electrial data'!$C$17:T$48,9,FALSE)="","",VLOOKUP(VLOOKUP($S50,Data!$B$3:$X$58,10,FALSE)&amp;"_"&amp;VLOOKUP($S50,Data!$B$3:$X$58,7,FALSE)&amp;"_"&amp;VLOOKUP($S50,Data!$B$3:$X$58,9,FALSE)&amp;"_2",'Electrial data'!$C$17:$P$48,9,FALSE)),"")</f>
        <v/>
      </c>
      <c r="AA51" s="208" t="str">
        <f>IFERROR(IF(VLOOKUP(VLOOKUP($S50,Data!$B$3:$X$58,10,FALSE)&amp;"_"&amp;VLOOKUP($S50,Data!$B$3:$X$58,7,FALSE)&amp;"_"&amp;VLOOKUP($S50,Data!$B$3:$X$58,9,FALSE)&amp;"_2",'Electrial data'!$C$17:U$48,10,FALSE)="","",VLOOKUP(VLOOKUP($S50,Data!$B$3:$X$58,10,FALSE)&amp;"_"&amp;VLOOKUP($S50,Data!$B$3:$X$58,7,FALSE)&amp;"_"&amp;VLOOKUP($S50,Data!$B$3:$X$58,9,FALSE)&amp;"_2",'Electrial data'!$C$17:$P$48,10,FALSE)),"")</f>
        <v/>
      </c>
      <c r="AB51" s="208" t="str">
        <f>IFERROR(IF(VLOOKUP(VLOOKUP($S50,Data!$B$3:$X$58,10,FALSE)&amp;"_"&amp;VLOOKUP($S50,Data!$B$3:$X$58,7,FALSE)&amp;"_"&amp;VLOOKUP($S50,Data!$B$3:$X$58,9,FALSE)&amp;"_2",'Electrial data'!$C$17:V$48,11,FALSE)="","",VLOOKUP(VLOOKUP($S50,Data!$B$3:$X$58,10,FALSE)&amp;"_"&amp;VLOOKUP($S50,Data!$B$3:$X$58,7,FALSE)&amp;"_"&amp;VLOOKUP($S50,Data!$B$3:$X$58,9,FALSE)&amp;"_2",'Electrial data'!$C$17:$P$48,11,FALSE)),"")</f>
        <v/>
      </c>
      <c r="AC51" s="208" t="str">
        <f>IFERROR(IF(VLOOKUP(VLOOKUP($S50,Data!$B$3:$X$58,10,FALSE)&amp;"_"&amp;VLOOKUP($S50,Data!$B$3:$X$58,7,FALSE)&amp;"_"&amp;VLOOKUP($S50,Data!$B$3:$X$58,9,FALSE)&amp;"_2",'Electrial data'!$C$17:W$48,12,FALSE)="","",VLOOKUP(VLOOKUP($S50,Data!$B$3:$X$58,10,FALSE)&amp;"_"&amp;VLOOKUP($S50,Data!$B$3:$X$58,7,FALSE)&amp;"_"&amp;VLOOKUP($S50,Data!$B$3:$X$58,9,FALSE)&amp;"_2",'Electrial data'!$C$17:$P$48,12,FALSE)),"")</f>
        <v/>
      </c>
      <c r="AD51" s="208" t="str">
        <f>IFERROR(IF(VLOOKUP(VLOOKUP($S50,Data!$B$3:$X$58,10,FALSE)&amp;"_"&amp;VLOOKUP($S50,Data!$B$3:$X$58,7,FALSE)&amp;"_"&amp;VLOOKUP($S50,Data!$B$3:$X$58,9,FALSE)&amp;"_2",'Electrial data'!$C$17:X$48,13,FALSE)="","",VLOOKUP(VLOOKUP($S50,Data!$B$3:$X$58,10,FALSE)&amp;"_"&amp;VLOOKUP($S50,Data!$B$3:$X$58,7,FALSE)&amp;"_"&amp;VLOOKUP($S50,Data!$B$3:$X$58,9,FALSE)&amp;"_2",'Electrial data'!$C$17:$P$48,13,FALSE)),"")</f>
        <v/>
      </c>
      <c r="AE51" s="208" t="str">
        <f>IFERROR(IF(VLOOKUP(VLOOKUP($S50,Data!$B$3:$X$58,10,FALSE)&amp;"_"&amp;VLOOKUP($S50,Data!$B$3:$X$58,7,FALSE)&amp;"_"&amp;VLOOKUP($S50,Data!$B$3:$X$58,9,FALSE)&amp;"_2",'Electrial data'!$C$17:Y$48,14,FALSE)="","",VLOOKUP(VLOOKUP($S50,Data!$B$3:$X$58,10,FALSE)&amp;"_"&amp;VLOOKUP($S50,Data!$B$3:$X$58,7,FALSE)&amp;"_"&amp;VLOOKUP($S50,Data!$B$3:$X$58,9,FALSE)&amp;"_2",'Electrial data'!$C$17:$P$48,14,FALSE)),"")</f>
        <v/>
      </c>
      <c r="AF51" s="206"/>
      <c r="AG51" s="195"/>
    </row>
    <row r="52" spans="1:33" ht="18.75" customHeight="1">
      <c r="A52" s="88"/>
      <c r="B52" s="115"/>
      <c r="C52" s="212"/>
      <c r="D52" s="212"/>
      <c r="E52" s="208" t="str">
        <f>IFERROR(IF(VLOOKUP(VLOOKUP($C$48,Data!$B$3:$X$58,7,FALSE)&amp;"_"&amp;VLOOKUP($C$48,Data!$B$3:$X$58,3,FALSE)&amp;"_5",Airflow!$B$6:$N$25,3,FALSE)="","",VLOOKUP(VLOOKUP($C$48,Data!$B$3:$X$58,7,FALSE)&amp;"_"&amp;VLOOKUP($C$48,Data!$B$3:$X$58,3,FALSE)&amp;"_5",Airflow!$B$6:$N$25,3,FALSE)),"")</f>
        <v>5*</v>
      </c>
      <c r="F52" s="208">
        <f>IFERROR(IF(VLOOKUP(VLOOKUP($C$48,Data!$B$3:$X$58,7,FALSE)&amp;"_"&amp;VLOOKUP($C$48,Data!$B$3:$X$58,3,FALSE)&amp;"_5",Airflow!$B$6:$N$25,4,FALSE)="","",VLOOKUP(VLOOKUP($C$48,Data!$B$3:$X$58,7,FALSE)&amp;"_"&amp;VLOOKUP($C$48,Data!$B$3:$X$58,3,FALSE)&amp;"_5",Airflow!$B$6:$N$25,4,FALSE)),"")</f>
        <v>921</v>
      </c>
      <c r="G52" s="208">
        <f>IFERROR(IF(VLOOKUP(VLOOKUP($C$48,Data!$B$3:$X$58,7,FALSE)&amp;"_"&amp;VLOOKUP($C$48,Data!$B$3:$X$58,3,FALSE)&amp;"_5",Airflow!$B$6:$N$25,5,FALSE)="","",VLOOKUP(VLOOKUP($C$48,Data!$B$3:$X$58,7,FALSE)&amp;"_"&amp;VLOOKUP($C$48,Data!$B$3:$X$58,3,FALSE)&amp;"_5",Airflow!$B$6:$N$25,5,FALSE)),"")</f>
        <v>886</v>
      </c>
      <c r="H52" s="208">
        <f>IFERROR(IF(VLOOKUP(VLOOKUP($C$48,Data!$B$3:$X$58,7,FALSE)&amp;"_"&amp;VLOOKUP($C$48,Data!$B$3:$X$58,3,FALSE)&amp;"_5",Airflow!$B$6:$N$25,6,FALSE)="","",VLOOKUP(VLOOKUP($C$48,Data!$B$3:$X$58,7,FALSE)&amp;"_"&amp;VLOOKUP($C$48,Data!$B$3:$X$58,3,FALSE)&amp;"_5",Airflow!$B$6:$N$25,6,FALSE)),"")</f>
        <v>862</v>
      </c>
      <c r="I52" s="208">
        <f>IFERROR(IF(VLOOKUP(VLOOKUP($C$48,Data!$B$3:$X$58,7,FALSE)&amp;"_"&amp;VLOOKUP($C$48,Data!$B$3:$X$58,3,FALSE)&amp;"_5",Airflow!$B$6:$N$25,7,FALSE)="","",VLOOKUP(VLOOKUP($C$48,Data!$B$3:$X$58,7,FALSE)&amp;"_"&amp;VLOOKUP($C$48,Data!$B$3:$X$58,3,FALSE)&amp;"_5",Airflow!$B$6:$N$25,7,FALSE)),"")</f>
        <v>827</v>
      </c>
      <c r="J52" s="208">
        <f>IFERROR(IF(VLOOKUP(VLOOKUP($C$48,Data!$B$3:$X$58,7,FALSE)&amp;"_"&amp;VLOOKUP($C$48,Data!$B$3:$X$58,3,FALSE)&amp;"_5",Airflow!$B$6:$N$25,8,FALSE)="","",VLOOKUP(VLOOKUP($C$48,Data!$B$3:$X$58,7,FALSE)&amp;"_"&amp;VLOOKUP($C$48,Data!$B$3:$X$58,3,FALSE)&amp;"_5",Airflow!$B$6:$N$25,8,FALSE)),"")</f>
        <v>794</v>
      </c>
      <c r="K52" s="208">
        <f>IFERROR(IF(VLOOKUP(VLOOKUP($C$48,Data!$B$3:$X$58,7,FALSE)&amp;"_"&amp;VLOOKUP($C$48,Data!$B$3:$X$58,3,FALSE)&amp;"_5",Airflow!$B$6:$N$25,9,FALSE)="","",VLOOKUP(VLOOKUP($C$48,Data!$B$3:$X$58,7,FALSE)&amp;"_"&amp;VLOOKUP($C$48,Data!$B$3:$X$58,3,FALSE)&amp;"_5",Airflow!$B$6:$N$25,9,FALSE)),"")</f>
        <v>770</v>
      </c>
      <c r="L52" s="208">
        <f>IFERROR(IF(VLOOKUP(VLOOKUP($C$48,Data!$B$3:$X$58,7,FALSE)&amp;"_"&amp;VLOOKUP($C$48,Data!$B$3:$X$58,3,FALSE)&amp;"_5",Airflow!$B$6:$N$25,10,FALSE)="","",VLOOKUP(VLOOKUP($C$48,Data!$B$3:$X$58,7,FALSE)&amp;"_"&amp;VLOOKUP($C$48,Data!$B$3:$X$58,3,FALSE)&amp;"_5",Airflow!$B$6:$N$25,10,FALSE)),"")</f>
        <v>739</v>
      </c>
      <c r="M52" s="208">
        <f>IFERROR(IF(VLOOKUP(VLOOKUP($C$48,Data!$B$3:$X$58,7,FALSE)&amp;"_"&amp;VLOOKUP($C$48,Data!$B$3:$X$58,3,FALSE)&amp;"_5",Airflow!$B$6:$N$25,11,FALSE)="","",VLOOKUP(VLOOKUP($C$48,Data!$B$3:$X$58,7,FALSE)&amp;"_"&amp;VLOOKUP($C$48,Data!$B$3:$X$58,3,FALSE)&amp;"_5",Airflow!$B$6:$N$25,11,FALSE)),"")</f>
        <v>713</v>
      </c>
      <c r="N52" s="208">
        <f>IFERROR(IF(VLOOKUP(VLOOKUP($C$48,Data!$B$3:$X$58,7,FALSE)&amp;"_"&amp;VLOOKUP($C$48,Data!$B$3:$X$58,3,FALSE)&amp;"_5",Airflow!$B$6:$N$25,12,FALSE)="","",VLOOKUP(VLOOKUP($C$48,Data!$B$3:$X$58,7,FALSE)&amp;"_"&amp;VLOOKUP($C$48,Data!$B$3:$X$58,3,FALSE)&amp;"_5",Airflow!$B$6:$N$25,12,FALSE)),"")</f>
        <v>709</v>
      </c>
      <c r="O52" s="208">
        <f>IFERROR(IF(VLOOKUP(VLOOKUP($C$48,Data!$B$3:$X$58,7,FALSE)&amp;"_"&amp;VLOOKUP($C$48,Data!$B$3:$X$58,3,FALSE)&amp;"_5",Airflow!$B$6:$N$25,13,FALSE)="","",VLOOKUP(VLOOKUP($C$48,Data!$B$3:$X$58,7,FALSE)&amp;"_"&amp;VLOOKUP($C$48,Data!$B$3:$X$58,3,FALSE)&amp;"_5",Airflow!$B$6:$N$25,13,FALSE)),"")</f>
        <v>654</v>
      </c>
      <c r="P52" s="206"/>
      <c r="Q52" s="195"/>
      <c r="R52" s="207"/>
      <c r="S52" s="213"/>
      <c r="T52" s="214"/>
      <c r="U52" s="215"/>
      <c r="V52" s="215"/>
      <c r="W52" s="216"/>
      <c r="X52" s="217"/>
      <c r="Y52" s="217"/>
      <c r="Z52" s="217"/>
      <c r="AA52" s="217"/>
      <c r="AB52" s="217"/>
      <c r="AC52" s="217"/>
      <c r="AD52" s="216"/>
      <c r="AE52" s="215"/>
      <c r="AF52" s="206"/>
      <c r="AG52" s="195"/>
    </row>
    <row r="53" spans="1:33" ht="18.75" customHeight="1">
      <c r="A53" s="88"/>
      <c r="B53" s="115"/>
      <c r="C53" s="218"/>
      <c r="D53" s="218"/>
      <c r="E53" s="218"/>
      <c r="F53" s="218"/>
      <c r="G53" s="218"/>
      <c r="H53" s="218"/>
      <c r="I53" s="218"/>
      <c r="J53" s="218"/>
      <c r="K53" s="218"/>
      <c r="L53" s="218"/>
      <c r="M53" s="218"/>
      <c r="N53" s="218"/>
      <c r="O53" s="218"/>
      <c r="P53" s="206"/>
      <c r="Q53" s="195"/>
      <c r="R53" s="207"/>
      <c r="S53" s="241" t="str">
        <f>IF(Front!E39= "120 V, 60 Hz, 1 ph.","","Unit Size")</f>
        <v>Unit Size</v>
      </c>
      <c r="T53" s="241" t="str">
        <f>IF(Front!E39= "120 V, 60 Hz, 1 ph.","","Circuit")</f>
        <v>Circuit</v>
      </c>
      <c r="U53" s="242" t="str">
        <f>IF(Front!E39= "120 V, 60 Hz, 1 ph.","","Total Heat Capacity")</f>
        <v>Total Heat Capacity</v>
      </c>
      <c r="V53" s="241" t="str">
        <f>IF(Front!E39= "120 V, 60 Hz, 1 ph.","","Electric Heating capacity")</f>
        <v>Electric Heating capacity</v>
      </c>
      <c r="W53" s="241"/>
      <c r="X53" s="242" t="str">
        <f>IF(Front!E39= "120 V, 60 Hz, 1 ph.","","Blower Amps (A)")</f>
        <v>Blower Amps (A)</v>
      </c>
      <c r="Y53" s="242"/>
      <c r="Z53" s="242" t="str">
        <f>IF(Front!E39= "120 V, 60 Hz, 1 ph.","","Total Current (A)")</f>
        <v>Total Current (A)</v>
      </c>
      <c r="AA53" s="242"/>
      <c r="AB53" s="242" t="str">
        <f>IF(Front!E39= "120 V, 60 Hz, 1 ph.","","Minimum Circuit Ampacity (A)")</f>
        <v>Minimum Circuit Ampacity (A)</v>
      </c>
      <c r="AC53" s="242"/>
      <c r="AD53" s="242" t="str">
        <f>IF(Front!E39= "120 V, 60 Hz, 1 ph.","","Maximum Circuit Breaker size[2] (A)")</f>
        <v>Maximum Circuit Breaker size[2] (A)</v>
      </c>
      <c r="AE53" s="242"/>
      <c r="AF53" s="206"/>
      <c r="AG53" s="195"/>
    </row>
    <row r="54" spans="1:33" ht="18.75" customHeight="1">
      <c r="A54" s="88"/>
      <c r="B54" s="115"/>
      <c r="C54" s="245" t="str">
        <f>IF(Front!E32= "","","Unit Size")</f>
        <v>Unit Size</v>
      </c>
      <c r="D54" s="245"/>
      <c r="E54" s="205" t="str">
        <f>IF(Front!E32= "","",VLOOKUP(VLOOKUP(Front!E32,Data!$B$3:$X$58,10,FALSE),Airflow!$BB$6:$BK$9,2,FALSE))</f>
        <v>Tap</v>
      </c>
      <c r="F54" s="205">
        <f>IFERROR(IF(VLOOKUP(VLOOKUP(Front!E32,Data!$B$3:$X$58,10,FALSE),Airflow!$BB$6:$BK$9,3,FALSE)= "","",VLOOKUP(VLOOKUP(Front!E32,Data!$B$3:$X$58,10,FALSE),Airflow!$BB$6:$BK$9,3,FALSE)),"")</f>
        <v>0.1</v>
      </c>
      <c r="G54" s="205">
        <f>IFERROR(IF(VLOOKUP(VLOOKUP(Front!E32,Data!$B$3:$X$58,10,FALSE),Airflow!$BB$6:$BK$9,4,FALSE)= "","",VLOOKUP(VLOOKUP(Front!E32,Data!$B$3:$X$58,10,FALSE),Airflow!$BB$6:$BK$9,4,FALSE)),"")</f>
        <v>0.2</v>
      </c>
      <c r="H54" s="205">
        <f>IFERROR(IF(VLOOKUP(VLOOKUP(Front!E32,Data!$B$3:$X$58,10,FALSE),Airflow!$BB$6:$BK$9,5,FALSE)= "","",VLOOKUP(VLOOKUP(Front!E32,Data!$B$3:$X$58,10,FALSE),Airflow!$BB$6:$BK$9,5,FALSE)),"")</f>
        <v>0.3</v>
      </c>
      <c r="I54" s="205">
        <f>IFERROR(IF(VLOOKUP(VLOOKUP(Front!E32,Data!$B$3:$X$58,10,FALSE),Airflow!$BB$6:$BK$9,6,FALSE)= "","",VLOOKUP(VLOOKUP(Front!E32,Data!$B$3:$X$58,10,FALSE),Airflow!$BB$6:$BK$9,6,FALSE)),"")</f>
        <v>0.4</v>
      </c>
      <c r="J54" s="205">
        <f>IFERROR(IF(VLOOKUP(VLOOKUP(Front!E32,Data!$B$3:$X$58,10,FALSE),Airflow!$BB$6:$BK$9,7,FALSE)= "","",VLOOKUP(VLOOKUP(Front!E32,Data!$B$3:$X$58,10,FALSE),Airflow!$BB$6:$BK$9,7,FALSE)),"")</f>
        <v>0.5</v>
      </c>
      <c r="K54" s="205">
        <f>IFERROR(IF(VLOOKUP(VLOOKUP(Front!E32,Data!$B$3:$X$58,10,FALSE),Airflow!$BB$6:$BK$9,8,FALSE)= "","",VLOOKUP(VLOOKUP(Front!E32,Data!$B$3:$X$58,10,FALSE),Airflow!$BB$6:$BK$9,8,FALSE)),"")</f>
        <v>0.6</v>
      </c>
      <c r="L54" s="205">
        <f>IFERROR(IF(VLOOKUP(VLOOKUP(Front!E32,Data!$B$3:$X$58,10,FALSE),Airflow!$BB$6:$BK$9,9,FALSE)= "","",VLOOKUP(VLOOKUP(Front!E32,Data!$B$3:$X$58,10,FALSE),Airflow!$BB$6:$BK$9,9,FALSE)),"")</f>
        <v>0.7</v>
      </c>
      <c r="M54" s="205">
        <f>IFERROR(IF(VLOOKUP(VLOOKUP(Front!E32,Data!$B$3:$X$58,10,FALSE),Airflow!$BB$6:$BK$9,10,FALSE)= "","",VLOOKUP(VLOOKUP(Front!E32,Data!$B$3:$X$58,10,FALSE),Airflow!$BB$6:$BK$9,10,FALSE)),"")</f>
        <v>0.8</v>
      </c>
      <c r="N54" s="205">
        <f>IFERROR(IF(VLOOKUP(VLOOKUP(Front!E32,Data!$B$3:$X$58,10,FALSE),Airflow!$BB$6:$BN$9,11,FALSE)= "","",VLOOKUP(VLOOKUP(Front!E32,Data!$B$3:$X$58,10,FALSE),Airflow!$BB$6:$BN$9,11,FALSE)),"")</f>
        <v>0.9</v>
      </c>
      <c r="O54" s="205">
        <f>IFERROR(IF(VLOOKUP(VLOOKUP(Front!E32,Data!$B$3:$X$58,10,FALSE),Airflow!$BB$6:$BN$9,12,FALSE)= "","",VLOOKUP(VLOOKUP(Front!E32,Data!$B$3:$X$58,10,FALSE),Airflow!$BB$6:$BN$9,12,FALSE)),"")</f>
        <v>1</v>
      </c>
      <c r="P54" s="206"/>
      <c r="Q54" s="195"/>
      <c r="R54" s="207"/>
      <c r="S54" s="241"/>
      <c r="T54" s="241"/>
      <c r="U54" s="242"/>
      <c r="V54" s="211" t="str">
        <f>IF(Front!E39= "120 V, 60 Hz, 1 ph.","","kW")</f>
        <v>kW</v>
      </c>
      <c r="W54" s="211" t="str">
        <f>IF(Front!E39= "120 V, 60 Hz, 1 ph.","","BTUH")</f>
        <v>BTUH</v>
      </c>
      <c r="X54" s="242"/>
      <c r="Y54" s="242"/>
      <c r="Z54" s="242"/>
      <c r="AA54" s="242"/>
      <c r="AB54" s="242"/>
      <c r="AC54" s="242"/>
      <c r="AD54" s="242"/>
      <c r="AE54" s="242"/>
      <c r="AF54" s="206"/>
      <c r="AG54" s="195"/>
    </row>
    <row r="55" spans="1:33" ht="18.75" customHeight="1">
      <c r="A55" s="88"/>
      <c r="B55" s="115"/>
      <c r="C55" s="245" t="str">
        <f>IF(Front!E32= "","",Front!E32)</f>
        <v>AMHE4D00B2N1</v>
      </c>
      <c r="D55" s="245"/>
      <c r="E55" s="208">
        <f>IFERROR(IF(VLOOKUP(VLOOKUP($C$55,Data!$B$3:$X$58,7,FALSE)&amp;"_"&amp;VLOOKUP($C$55,Data!$B$3:$X$58,3,FALSE)&amp;"_1",Airflow!$B$6:$N$25,3,FALSE)="","",VLOOKUP(VLOOKUP($C$55,Data!$B$3:$X$58,7,FALSE)&amp;"_"&amp;VLOOKUP($C$55,Data!$B$3:$X$58,3,FALSE)&amp;"_1",Airflow!$B$6:$N$25,3,FALSE)),"")</f>
        <v>1</v>
      </c>
      <c r="F55" s="208">
        <f>IFERROR(IF(VLOOKUP(VLOOKUP($C$55,Data!$B$3:$X$58,7,FALSE)&amp;"_"&amp;VLOOKUP($C$55,Data!$B$3:$X$58,3,FALSE)&amp;"_1",Airflow!$B$6:$N$25,4,FALSE)="","",VLOOKUP(VLOOKUP($C$55,Data!$B$3:$X$58,7,FALSE)&amp;"_"&amp;VLOOKUP($C$55,Data!$B$3:$X$58,3,FALSE)&amp;"_1",Airflow!$B$6:$N$25,4,FALSE)),"")</f>
        <v>486</v>
      </c>
      <c r="G55" s="208">
        <f>IFERROR(IF(VLOOKUP(VLOOKUP($C$55,Data!$B$3:$X$58,7,FALSE)&amp;"_"&amp;VLOOKUP($C$55,Data!$B$3:$X$58,3,FALSE)&amp;"_1",Airflow!$B$6:$N$25,5,FALSE)="","",VLOOKUP(VLOOKUP($C$55,Data!$B$3:$X$58,7,FALSE)&amp;"_"&amp;VLOOKUP($C$55,Data!$B$3:$X$58,3,FALSE)&amp;"_1",Airflow!$B$6:$N$25,5,FALSE)),"")</f>
        <v>408</v>
      </c>
      <c r="H55" s="208">
        <f>IFERROR(IF(VLOOKUP(VLOOKUP($C$55,Data!$B$3:$X$58,7,FALSE)&amp;"_"&amp;VLOOKUP($C$55,Data!$B$3:$X$58,3,FALSE)&amp;"_1",Airflow!$B$6:$N$25,6,FALSE)="","",VLOOKUP(VLOOKUP($C$55,Data!$B$3:$X$58,7,FALSE)&amp;"_"&amp;VLOOKUP($C$55,Data!$B$3:$X$58,3,FALSE)&amp;"_1",Airflow!$B$6:$N$25,6,FALSE)),"")</f>
        <v>333</v>
      </c>
      <c r="I55" s="208">
        <f>IFERROR(IF(VLOOKUP(VLOOKUP($C$55,Data!$B$3:$X$58,7,FALSE)&amp;"_"&amp;VLOOKUP($C$55,Data!$B$3:$X$58,3,FALSE)&amp;"_1",Airflow!$B$6:$N$25,7,FALSE)="","",VLOOKUP(VLOOKUP($C$55,Data!$B$3:$X$58,7,FALSE)&amp;"_"&amp;VLOOKUP($C$55,Data!$B$3:$X$58,3,FALSE)&amp;"_1",Airflow!$B$6:$N$25,7,FALSE)),"")</f>
        <v>253</v>
      </c>
      <c r="J55" s="208">
        <f>IFERROR(IF(VLOOKUP(VLOOKUP($C$55,Data!$B$3:$X$58,7,FALSE)&amp;"_"&amp;VLOOKUP($C$55,Data!$B$3:$X$58,3,FALSE)&amp;"_1",Airflow!$B$6:$N$25,8,FALSE)="","",VLOOKUP(VLOOKUP($C$55,Data!$B$3:$X$58,7,FALSE)&amp;"_"&amp;VLOOKUP($C$55,Data!$B$3:$X$58,3,FALSE)&amp;"_1",Airflow!$B$6:$N$25,8,FALSE)),"")</f>
        <v>216</v>
      </c>
      <c r="K55" s="208">
        <f>IFERROR(IF(VLOOKUP(VLOOKUP($C$55,Data!$B$3:$X$58,7,FALSE)&amp;"_"&amp;VLOOKUP($C$55,Data!$B$3:$X$58,3,FALSE)&amp;"_1",Airflow!$B$6:$N$25,9,FALSE)="","",VLOOKUP(VLOOKUP($C$55,Data!$B$3:$X$58,7,FALSE)&amp;"_"&amp;VLOOKUP($C$55,Data!$B$3:$X$58,3,FALSE)&amp;"_1",Airflow!$B$6:$N$25,9,FALSE)),"")</f>
        <v>216</v>
      </c>
      <c r="L55" s="208">
        <f>IFERROR(IF(VLOOKUP(VLOOKUP($C$55,Data!$B$3:$X$58,7,FALSE)&amp;"_"&amp;VLOOKUP($C$55,Data!$B$3:$X$58,3,FALSE)&amp;"_1",Airflow!$B$6:$N$25,10,FALSE)="","",VLOOKUP(VLOOKUP($C$55,Data!$B$3:$X$58,7,FALSE)&amp;"_"&amp;VLOOKUP($C$55,Data!$B$3:$X$58,3,FALSE)&amp;"_1",Airflow!$B$6:$N$25,10,FALSE)),"")</f>
        <v>216</v>
      </c>
      <c r="M55" s="208">
        <f>IFERROR(IF(VLOOKUP(VLOOKUP($C$55,Data!$B$3:$X$58,7,FALSE)&amp;"_"&amp;VLOOKUP($C$55,Data!$B$3:$X$58,3,FALSE)&amp;"_1",Airflow!$B$6:$N$25,11,FALSE)="","",VLOOKUP(VLOOKUP($C$55,Data!$B$3:$X$58,7,FALSE)&amp;"_"&amp;VLOOKUP($C$55,Data!$B$3:$X$58,3,FALSE)&amp;"_1",Airflow!$B$6:$N$25,11,FALSE)),"")</f>
        <v>216</v>
      </c>
      <c r="N55" s="208">
        <f>IFERROR(IF(VLOOKUP(VLOOKUP($C$55,Data!$B$3:$X$58,7,FALSE)&amp;"_"&amp;VLOOKUP($C$55,Data!$B$3:$X$58,3,FALSE)&amp;"_1",Airflow!$B$6:$N$25,12,FALSE)="","",VLOOKUP(VLOOKUP($C$55,Data!$B$3:$X$58,7,FALSE)&amp;"_"&amp;VLOOKUP($C$55,Data!$B$3:$X$58,3,FALSE)&amp;"_1",Airflow!$B$6:$N$25,12,FALSE)),"")</f>
        <v>216</v>
      </c>
      <c r="O55" s="208">
        <f>IFERROR(IF(VLOOKUP(VLOOKUP($C$55,Data!$B$3:$X$58,7,FALSE)&amp;"_"&amp;VLOOKUP($C$55,Data!$B$3:$X$58,3,FALSE)&amp;"_1",Airflow!$B$6:$N$25,13,FALSE)="","",VLOOKUP(VLOOKUP($C$55,Data!$B$3:$X$58,7,FALSE)&amp;"_"&amp;VLOOKUP($C$55,Data!$B$3:$X$58,3,FALSE)&amp;"_1",Airflow!$B$6:$N$25,13,FALSE)),"")</f>
        <v>216</v>
      </c>
      <c r="P55" s="206"/>
      <c r="Q55" s="195"/>
      <c r="R55" s="207"/>
      <c r="S55" s="241"/>
      <c r="T55" s="241"/>
      <c r="U55" s="242"/>
      <c r="V55" s="211" t="str">
        <f>IF(Front!E39= "120 V, 60 Hz, 1 ph.","","240 V[1]")</f>
        <v>240 V[1]</v>
      </c>
      <c r="W55" s="211" t="str">
        <f>IF(Front!E39= "120 V, 60 Hz, 1 ph.","","240 V[1]")</f>
        <v>240 V[1]</v>
      </c>
      <c r="X55" s="211" t="str">
        <f>IF(Front!E39= "120 V, 60 Hz, 1 ph.","","208 V")</f>
        <v>208 V</v>
      </c>
      <c r="Y55" s="211" t="str">
        <f>IF(Front!E39= "120 V, 60 Hz, 1 ph.","","240 V")</f>
        <v>240 V</v>
      </c>
      <c r="Z55" s="211" t="str">
        <f>IF(Front!E39= "120 V, 60 Hz, 1 ph.","","208 V")</f>
        <v>208 V</v>
      </c>
      <c r="AA55" s="211" t="str">
        <f>IF(Front!E39= "120 V, 60 Hz, 1 ph.","","240 V")</f>
        <v>240 V</v>
      </c>
      <c r="AB55" s="211" t="str">
        <f>IF(Front!E39= "120 V, 60 Hz, 1 ph.","","208 V")</f>
        <v>208 V</v>
      </c>
      <c r="AC55" s="211" t="str">
        <f>IF(Front!E39= "120 V, 60 Hz, 1 ph.","","240 V")</f>
        <v>240 V</v>
      </c>
      <c r="AD55" s="211" t="str">
        <f>IF(Front!E39= "120 V, 60 Hz, 1 ph.","","208 V")</f>
        <v>208 V</v>
      </c>
      <c r="AE55" s="211" t="str">
        <f>IF(Front!E39= "120 V, 60 Hz, 1 ph.","","240 V")</f>
        <v>240 V</v>
      </c>
      <c r="AF55" s="206"/>
      <c r="AG55" s="195"/>
    </row>
    <row r="56" spans="1:33" ht="18.75" customHeight="1">
      <c r="A56" s="34"/>
      <c r="B56" s="117"/>
      <c r="C56" s="212"/>
      <c r="D56" s="212"/>
      <c r="E56" s="208">
        <f>IFERROR(IF(VLOOKUP(VLOOKUP($C$55,Data!$B$3:$X$58,7,FALSE)&amp;"_"&amp;VLOOKUP($C$55,Data!$B$3:$X$58,3,FALSE)&amp;"_3",Airflow!$B$6:$N$25,3,FALSE)="","",VLOOKUP(VLOOKUP($C$55,Data!$B$3:$X$58,7,FALSE)&amp;"_"&amp;VLOOKUP($C$55,Data!$B$3:$X$58,3,FALSE)&amp;"_2",Airflow!$B$6:$N$25,3,FALSE)),"")</f>
        <v>2</v>
      </c>
      <c r="F56" s="208">
        <f>IFERROR(IF(VLOOKUP(VLOOKUP($C$55,Data!$B$3:$X$58,7,FALSE)&amp;"_"&amp;VLOOKUP($C$55,Data!$B$3:$X$58,3,FALSE)&amp;"_3",Airflow!$B$6:$N$25,4,FALSE)="","",VLOOKUP(VLOOKUP($C$55,Data!$B$3:$X$58,7,FALSE)&amp;"_"&amp;VLOOKUP($C$55,Data!$B$3:$X$58,3,FALSE)&amp;"_2",Airflow!$B$6:$N$25,4,FALSE)),"")</f>
        <v>1046</v>
      </c>
      <c r="G56" s="208">
        <f>IFERROR(IF(VLOOKUP(VLOOKUP($C$55,Data!$B$3:$X$58,7,FALSE)&amp;"_"&amp;VLOOKUP($C$55,Data!$B$3:$X$58,3,FALSE)&amp;"_3",Airflow!$B$6:$N$25,5,FALSE)="","",VLOOKUP(VLOOKUP($C$55,Data!$B$3:$X$58,7,FALSE)&amp;"_"&amp;VLOOKUP($C$55,Data!$B$3:$X$58,3,FALSE)&amp;"_2",Airflow!$B$6:$N$25,5,FALSE)),"")</f>
        <v>1010</v>
      </c>
      <c r="H56" s="208">
        <f>IFERROR(IF(VLOOKUP(VLOOKUP($C$55,Data!$B$3:$X$58,7,FALSE)&amp;"_"&amp;VLOOKUP($C$55,Data!$B$3:$X$58,3,FALSE)&amp;"_3",Airflow!$B$6:$N$25,6,FALSE)="","",VLOOKUP(VLOOKUP($C$55,Data!$B$3:$X$58,7,FALSE)&amp;"_"&amp;VLOOKUP($C$55,Data!$B$3:$X$58,3,FALSE)&amp;"_2",Airflow!$B$6:$N$25,6,FALSE)),"")</f>
        <v>969</v>
      </c>
      <c r="I56" s="208">
        <f>IFERROR(IF(VLOOKUP(VLOOKUP($C$55,Data!$B$3:$X$58,7,FALSE)&amp;"_"&amp;VLOOKUP($C$55,Data!$B$3:$X$58,3,FALSE)&amp;"_3",Airflow!$B$6:$N$25,7,FALSE)="","",VLOOKUP(VLOOKUP($C$55,Data!$B$3:$X$58,7,FALSE)&amp;"_"&amp;VLOOKUP($C$55,Data!$B$3:$X$58,3,FALSE)&amp;"_2",Airflow!$B$6:$N$25,7,FALSE)),"")</f>
        <v>877</v>
      </c>
      <c r="J56" s="208">
        <f>IFERROR(IF(VLOOKUP(VLOOKUP($C$55,Data!$B$3:$X$58,7,FALSE)&amp;"_"&amp;VLOOKUP($C$55,Data!$B$3:$X$58,3,FALSE)&amp;"_3",Airflow!$B$6:$N$25,8,FALSE)="","",VLOOKUP(VLOOKUP($C$55,Data!$B$3:$X$58,7,FALSE)&amp;"_"&amp;VLOOKUP($C$55,Data!$B$3:$X$58,3,FALSE)&amp;"_2",Airflow!$B$6:$N$25,8,FALSE)),"")</f>
        <v>824</v>
      </c>
      <c r="K56" s="208">
        <f>IFERROR(IF(VLOOKUP(VLOOKUP($C$55,Data!$B$3:$X$58,7,FALSE)&amp;"_"&amp;VLOOKUP($C$55,Data!$B$3:$X$58,3,FALSE)&amp;"_3",Airflow!$B$6:$N$25,9,FALSE)="","",VLOOKUP(VLOOKUP($C$55,Data!$B$3:$X$58,7,FALSE)&amp;"_"&amp;VLOOKUP($C$55,Data!$B$3:$X$58,3,FALSE)&amp;"_2",Airflow!$B$6:$N$25,9,FALSE)),"")</f>
        <v>780</v>
      </c>
      <c r="L56" s="208">
        <f>IFERROR(IF(VLOOKUP(VLOOKUP($C$55,Data!$B$3:$X$58,7,FALSE)&amp;"_"&amp;VLOOKUP($C$55,Data!$B$3:$X$58,3,FALSE)&amp;"_3",Airflow!$B$6:$N$25,10,FALSE)="","",VLOOKUP(VLOOKUP($C$55,Data!$B$3:$X$58,7,FALSE)&amp;"_"&amp;VLOOKUP($C$55,Data!$B$3:$X$58,3,FALSE)&amp;"_2",Airflow!$B$6:$N$25,10,FALSE)),"")</f>
        <v>734</v>
      </c>
      <c r="M56" s="208">
        <f>IFERROR(IF(VLOOKUP(VLOOKUP($C$55,Data!$B$3:$X$58,7,FALSE)&amp;"_"&amp;VLOOKUP($C$55,Data!$B$3:$X$58,3,FALSE)&amp;"_3",Airflow!$B$6:$N$25,11,FALSE)="","",VLOOKUP(VLOOKUP($C$55,Data!$B$3:$X$58,7,FALSE)&amp;"_"&amp;VLOOKUP($C$55,Data!$B$3:$X$58,3,FALSE)&amp;"_2",Airflow!$B$6:$N$25,11,FALSE)),"")</f>
        <v>690</v>
      </c>
      <c r="N56" s="208">
        <f>IFERROR(IF(VLOOKUP(VLOOKUP($C$55,Data!$B$3:$X$58,7,FALSE)&amp;"_"&amp;VLOOKUP($C$55,Data!$B$3:$X$58,3,FALSE)&amp;"_3",Airflow!$B$6:$N$25,12,FALSE)="","",VLOOKUP(VLOOKUP($C$55,Data!$B$3:$X$58,7,FALSE)&amp;"_"&amp;VLOOKUP($C$55,Data!$B$3:$X$58,3,FALSE)&amp;"_2",Airflow!$B$6:$N$25,12,FALSE)),"")</f>
        <v>655</v>
      </c>
      <c r="O56" s="208">
        <f>IFERROR(IF(VLOOKUP(VLOOKUP($C$55,Data!$B$3:$X$58,7,FALSE)&amp;"_"&amp;VLOOKUP($C$55,Data!$B$3:$X$58,3,FALSE)&amp;"_3",Airflow!$B$6:$N$25,13,FALSE)="","",VLOOKUP(VLOOKUP($C$55,Data!$B$3:$X$58,7,FALSE)&amp;"_"&amp;VLOOKUP($C$55,Data!$B$3:$X$58,3,FALSE)&amp;"_2",Airflow!$B$6:$N$25,13,FALSE)),"")</f>
        <v>615</v>
      </c>
      <c r="P56" s="206"/>
      <c r="Q56" s="195"/>
      <c r="R56" s="207"/>
      <c r="S56" s="205" t="str">
        <f>IF(Front!E39= "120 V, 60 Hz, 1 ph.","",Front!E32)</f>
        <v>AMHE4D00B2N1</v>
      </c>
      <c r="T56" s="208" t="str">
        <f>IFERROR(IF(VLOOKUP(VLOOKUP($S56,Data!$B$3:$X$58,10,FALSE)&amp;"_"&amp;VLOOKUP($S56,Data!$B$3:$X$58,7,FALSE)&amp;"_"&amp;VLOOKUP($S56,Data!$B$3:$X$58,9,FALSE)&amp;"_1",'Electrial data'!$C$17:P$48,3,FALSE)="","",VLOOKUP(VLOOKUP($S56,Data!$B$3:$X$58,10,FALSE)&amp;"_"&amp;VLOOKUP($S56,Data!$B$3:$X$58,7,FALSE)&amp;"_"&amp;VLOOKUP($S56,Data!$B$3:$X$58,9,FALSE)&amp;"_1",'Electrial data'!$C$17:$P$48,3,FALSE)),"")</f>
        <v>CKT 1</v>
      </c>
      <c r="U56" s="208">
        <f>IFERROR(IF(VLOOKUP(VLOOKUP($S56,Data!$B$3:$X$58,10,FALSE)&amp;"_"&amp;VLOOKUP($S56,Data!$B$3:$X$58,7,FALSE)&amp;"_"&amp;VLOOKUP($S56,Data!$B$3:$X$58,9,FALSE)&amp;"_1",'Electrial data'!$C$17:Q$48,4,FALSE)="","",VLOOKUP(VLOOKUP($S56,Data!$B$3:$X$58,10,FALSE)&amp;"_"&amp;VLOOKUP($S56,Data!$B$3:$X$58,7,FALSE)&amp;"_"&amp;VLOOKUP($S56,Data!$B$3:$X$58,9,FALSE)&amp;"_1",'Electrial data'!$C$17:$P$48,4,FALSE)),"")</f>
        <v>0</v>
      </c>
      <c r="V56" s="208">
        <f>IFERROR(IF(VLOOKUP(VLOOKUP($S56,Data!$B$3:$X$58,10,FALSE)&amp;"_"&amp;VLOOKUP($S56,Data!$B$3:$X$58,7,FALSE)&amp;"_"&amp;VLOOKUP($S56,Data!$B$3:$X$58,9,FALSE)&amp;"_1",'Electrial data'!$C$17:R$48,5,FALSE)="","",VLOOKUP(VLOOKUP($S56,Data!$B$3:$X$58,10,FALSE)&amp;"_"&amp;VLOOKUP($S56,Data!$B$3:$X$58,7,FALSE)&amp;"_"&amp;VLOOKUP($S56,Data!$B$3:$X$58,9,FALSE)&amp;"_1",'Electrial data'!$C$17:$P$48,5,FALSE)),"")</f>
        <v>0</v>
      </c>
      <c r="W56" s="208">
        <f>IFERROR(IF(VLOOKUP(VLOOKUP($S56,Data!$B$3:$X$58,10,FALSE)&amp;"_"&amp;VLOOKUP($S56,Data!$B$3:$X$58,7,FALSE)&amp;"_"&amp;VLOOKUP($S56,Data!$B$3:$X$58,9,FALSE)&amp;"_1",'Electrial data'!$C$17:S$48,6,FALSE)="","",VLOOKUP(VLOOKUP($S56,Data!$B$3:$X$58,10,FALSE)&amp;"_"&amp;VLOOKUP($S56,Data!$B$3:$X$58,7,FALSE)&amp;"_"&amp;VLOOKUP($S56,Data!$B$3:$X$58,9,FALSE)&amp;"_1",'Electrial data'!$C$17:$P$48,6,FALSE)),"")</f>
        <v>0</v>
      </c>
      <c r="X56" s="208">
        <f>IFERROR(IF(VLOOKUP(VLOOKUP($S56,Data!$B$3:$X$58,10,FALSE)&amp;"_"&amp;VLOOKUP($S56,Data!$B$3:$X$58,7,FALSE)&amp;"_"&amp;VLOOKUP($S56,Data!$B$3:$X$58,9,FALSE)&amp;"_1",'Electrial data'!$C$17:R$48,7,FALSE)="","",VLOOKUP(VLOOKUP($S56,Data!$B$3:$X$58,10,FALSE)&amp;"_"&amp;VLOOKUP($S56,Data!$B$3:$X$58,7,FALSE)&amp;"_"&amp;VLOOKUP($S56,Data!$B$3:$X$58,9,FALSE)&amp;"_1",'Electrial data'!$C$17:$P$48,7,FALSE)),"")</f>
        <v>6</v>
      </c>
      <c r="Y56" s="208">
        <f>IFERROR(IF(VLOOKUP(VLOOKUP($S56,Data!$B$3:$X$58,10,FALSE)&amp;"_"&amp;VLOOKUP($S56,Data!$B$3:$X$58,7,FALSE)&amp;"_"&amp;VLOOKUP($S56,Data!$B$3:$X$58,9,FALSE)&amp;"_1",'Electrial data'!$C$17:S$48,8,FALSE)="","",VLOOKUP(VLOOKUP($S56,Data!$B$3:$X$58,10,FALSE)&amp;"_"&amp;VLOOKUP($S56,Data!$B$3:$X$58,7,FALSE)&amp;"_"&amp;VLOOKUP($S56,Data!$B$3:$X$58,9,FALSE)&amp;"_1",'Electrial data'!$C$17:$P$48,8,FALSE)),"")</f>
        <v>5.8</v>
      </c>
      <c r="Z56" s="208">
        <f>IFERROR(IF(VLOOKUP(VLOOKUP($S56,Data!$B$3:$X$58,10,FALSE)&amp;"_"&amp;VLOOKUP($S56,Data!$B$3:$X$58,7,FALSE)&amp;"_"&amp;VLOOKUP($S56,Data!$B$3:$X$58,9,FALSE)&amp;"_1",'Electrial data'!$C$17:T$48,9,FALSE)="","",VLOOKUP(VLOOKUP($S56,Data!$B$3:$X$58,10,FALSE)&amp;"_"&amp;VLOOKUP($S56,Data!$B$3:$X$58,7,FALSE)&amp;"_"&amp;VLOOKUP($S56,Data!$B$3:$X$58,9,FALSE)&amp;"_1",'Electrial data'!$C$17:$P$48,9,FALSE)),"")</f>
        <v>6</v>
      </c>
      <c r="AA56" s="208">
        <f>IFERROR(IF(VLOOKUP(VLOOKUP($S56,Data!$B$3:$X$58,10,FALSE)&amp;"_"&amp;VLOOKUP($S56,Data!$B$3:$X$58,7,FALSE)&amp;"_"&amp;VLOOKUP($S56,Data!$B$3:$X$58,9,FALSE)&amp;"_1",'Electrial data'!$C$17:U$48,10,FALSE)="","",VLOOKUP(VLOOKUP($S56,Data!$B$3:$X$58,10,FALSE)&amp;"_"&amp;VLOOKUP($S56,Data!$B$3:$X$58,7,FALSE)&amp;"_"&amp;VLOOKUP($S56,Data!$B$3:$X$58,9,FALSE)&amp;"_1",'Electrial data'!$C$17:$P$48,10,FALSE)),"")</f>
        <v>5.8</v>
      </c>
      <c r="AB56" s="208">
        <f>IFERROR(IF(VLOOKUP(VLOOKUP($S56,Data!$B$3:$X$58,10,FALSE)&amp;"_"&amp;VLOOKUP($S56,Data!$B$3:$X$58,7,FALSE)&amp;"_"&amp;VLOOKUP($S56,Data!$B$3:$X$58,9,FALSE)&amp;"_1",'Electrial data'!$C$17:V$48,11,FALSE)="","",VLOOKUP(VLOOKUP($S56,Data!$B$3:$X$58,10,FALSE)&amp;"_"&amp;VLOOKUP($S56,Data!$B$3:$X$58,7,FALSE)&amp;"_"&amp;VLOOKUP($S56,Data!$B$3:$X$58,9,FALSE)&amp;"_1",'Electrial data'!$C$17:$P$48,11,FALSE)),"")</f>
        <v>7.5</v>
      </c>
      <c r="AC56" s="208">
        <f>IFERROR(IF(VLOOKUP(VLOOKUP($S56,Data!$B$3:$X$58,10,FALSE)&amp;"_"&amp;VLOOKUP($S56,Data!$B$3:$X$58,7,FALSE)&amp;"_"&amp;VLOOKUP($S56,Data!$B$3:$X$58,9,FALSE)&amp;"_1",'Electrial data'!$C$17:W$48,12,FALSE)="","",VLOOKUP(VLOOKUP($S56,Data!$B$3:$X$58,10,FALSE)&amp;"_"&amp;VLOOKUP($S56,Data!$B$3:$X$58,7,FALSE)&amp;"_"&amp;VLOOKUP($S56,Data!$B$3:$X$58,9,FALSE)&amp;"_1",'Electrial data'!$C$17:$P$48,12,FALSE)),"")</f>
        <v>7.3</v>
      </c>
      <c r="AD56" s="208">
        <f>IFERROR(IF(VLOOKUP(VLOOKUP($S56,Data!$B$3:$X$58,10,FALSE)&amp;"_"&amp;VLOOKUP($S56,Data!$B$3:$X$58,7,FALSE)&amp;"_"&amp;VLOOKUP($S56,Data!$B$3:$X$58,9,FALSE)&amp;"_1",'Electrial data'!$C$17:X$48,13,FALSE)="","",VLOOKUP(VLOOKUP($S56,Data!$B$3:$X$58,10,FALSE)&amp;"_"&amp;VLOOKUP($S56,Data!$B$3:$X$58,7,FALSE)&amp;"_"&amp;VLOOKUP($S56,Data!$B$3:$X$58,9,FALSE)&amp;"_1",'Electrial data'!$C$17:$P$48,13,FALSE)),"")</f>
        <v>15</v>
      </c>
      <c r="AE56" s="208">
        <f>IFERROR(IF(VLOOKUP(VLOOKUP($S56,Data!$B$3:$X$58,10,FALSE)&amp;"_"&amp;VLOOKUP($S56,Data!$B$3:$X$58,7,FALSE)&amp;"_"&amp;VLOOKUP($S56,Data!$B$3:$X$58,9,FALSE)&amp;"_1",'Electrial data'!$C$17:Y$48,14,FALSE)="","",VLOOKUP(VLOOKUP($S56,Data!$B$3:$X$58,10,FALSE)&amp;"_"&amp;VLOOKUP($S56,Data!$B$3:$X$58,7,FALSE)&amp;"_"&amp;VLOOKUP($S56,Data!$B$3:$X$58,9,FALSE)&amp;"_1",'Electrial data'!$C$17:$P$48,14,FALSE)),"")</f>
        <v>15</v>
      </c>
      <c r="AF56" s="206"/>
      <c r="AG56" s="195"/>
    </row>
    <row r="57" spans="1:33" ht="18.75" customHeight="1">
      <c r="A57" s="94"/>
      <c r="B57" s="118"/>
      <c r="C57" s="212"/>
      <c r="D57" s="212"/>
      <c r="E57" s="208" t="str">
        <f>IFERROR(IF(VLOOKUP(VLOOKUP($C$55,Data!$B$3:$X$58,7,FALSE)&amp;"_"&amp;VLOOKUP($C$55,Data!$B$3:$X$58,3,FALSE)&amp;"_3",Airflow!$B$6:$N$25,3,FALSE)="","",VLOOKUP(VLOOKUP($C$55,Data!$B$3:$X$58,7,FALSE)&amp;"_"&amp;VLOOKUP($C$55,Data!$B$3:$X$58,3,FALSE)&amp;"_3",Airflow!$B$6:$N$25,3,FALSE)),"")</f>
        <v>3^</v>
      </c>
      <c r="F57" s="208">
        <f>IFERROR(IF(VLOOKUP(VLOOKUP($C$55,Data!$B$3:$X$58,7,FALSE)&amp;"_"&amp;VLOOKUP($C$55,Data!$B$3:$X$58,3,FALSE)&amp;"_3",Airflow!$B$6:$N$25,4,FALSE)="","",VLOOKUP(VLOOKUP($C$55,Data!$B$3:$X$58,7,FALSE)&amp;"_"&amp;VLOOKUP($C$55,Data!$B$3:$X$58,3,FALSE)&amp;"_3",Airflow!$B$6:$N$25,4,FALSE)),"")</f>
        <v>1382</v>
      </c>
      <c r="G57" s="208">
        <f>IFERROR(IF(VLOOKUP(VLOOKUP($C$55,Data!$B$3:$X$58,7,FALSE)&amp;"_"&amp;VLOOKUP($C$55,Data!$B$3:$X$58,3,FALSE)&amp;"_3",Airflow!$B$6:$N$25,5,FALSE)="","",VLOOKUP(VLOOKUP($C$55,Data!$B$3:$X$58,7,FALSE)&amp;"_"&amp;VLOOKUP($C$55,Data!$B$3:$X$58,3,FALSE)&amp;"_3",Airflow!$B$6:$N$25,5,FALSE)),"")</f>
        <v>1347</v>
      </c>
      <c r="H57" s="208">
        <f>IFERROR(IF(VLOOKUP(VLOOKUP($C$55,Data!$B$3:$X$58,7,FALSE)&amp;"_"&amp;VLOOKUP($C$55,Data!$B$3:$X$58,3,FALSE)&amp;"_3",Airflow!$B$6:$N$25,6,FALSE)="","",VLOOKUP(VLOOKUP($C$55,Data!$B$3:$X$58,7,FALSE)&amp;"_"&amp;VLOOKUP($C$55,Data!$B$3:$X$58,3,FALSE)&amp;"_3",Airflow!$B$6:$N$25,6,FALSE)),"")</f>
        <v>1313</v>
      </c>
      <c r="I57" s="208">
        <f>IFERROR(IF(VLOOKUP(VLOOKUP($C$55,Data!$B$3:$X$58,7,FALSE)&amp;"_"&amp;VLOOKUP($C$55,Data!$B$3:$X$58,3,FALSE)&amp;"_3",Airflow!$B$6:$N$25,7,FALSE)="","",VLOOKUP(VLOOKUP($C$55,Data!$B$3:$X$58,7,FALSE)&amp;"_"&amp;VLOOKUP($C$55,Data!$B$3:$X$58,3,FALSE)&amp;"_3",Airflow!$B$6:$N$25,7,FALSE)),"")</f>
        <v>1286</v>
      </c>
      <c r="J57" s="208">
        <f>IFERROR(IF(VLOOKUP(VLOOKUP($C$55,Data!$B$3:$X$58,7,FALSE)&amp;"_"&amp;VLOOKUP($C$55,Data!$B$3:$X$58,3,FALSE)&amp;"_3",Airflow!$B$6:$N$25,8,FALSE)="","",VLOOKUP(VLOOKUP($C$55,Data!$B$3:$X$58,7,FALSE)&amp;"_"&amp;VLOOKUP($C$55,Data!$B$3:$X$58,3,FALSE)&amp;"_3",Airflow!$B$6:$N$25,8,FALSE)),"")</f>
        <v>1244</v>
      </c>
      <c r="K57" s="208">
        <f>IFERROR(IF(VLOOKUP(VLOOKUP($C$55,Data!$B$3:$X$58,7,FALSE)&amp;"_"&amp;VLOOKUP($C$55,Data!$B$3:$X$58,3,FALSE)&amp;"_3",Airflow!$B$6:$N$25,9,FALSE)="","",VLOOKUP(VLOOKUP($C$55,Data!$B$3:$X$58,7,FALSE)&amp;"_"&amp;VLOOKUP($C$55,Data!$B$3:$X$58,3,FALSE)&amp;"_3",Airflow!$B$6:$N$25,9,FALSE)),"")</f>
        <v>1194</v>
      </c>
      <c r="L57" s="208">
        <f>IFERROR(IF(VLOOKUP(VLOOKUP($C$55,Data!$B$3:$X$58,7,FALSE)&amp;"_"&amp;VLOOKUP($C$55,Data!$B$3:$X$58,3,FALSE)&amp;"_3",Airflow!$B$6:$N$25,10,FALSE)="","",VLOOKUP(VLOOKUP($C$55,Data!$B$3:$X$58,7,FALSE)&amp;"_"&amp;VLOOKUP($C$55,Data!$B$3:$X$58,3,FALSE)&amp;"_3",Airflow!$B$6:$N$25,10,FALSE)),"")</f>
        <v>1119</v>
      </c>
      <c r="M57" s="208">
        <f>IFERROR(IF(VLOOKUP(VLOOKUP($C$55,Data!$B$3:$X$58,7,FALSE)&amp;"_"&amp;VLOOKUP($C$55,Data!$B$3:$X$58,3,FALSE)&amp;"_3",Airflow!$B$6:$N$25,11,FALSE)="","",VLOOKUP(VLOOKUP($C$55,Data!$B$3:$X$58,7,FALSE)&amp;"_"&amp;VLOOKUP($C$55,Data!$B$3:$X$58,3,FALSE)&amp;"_3",Airflow!$B$6:$N$25,11,FALSE)),"")</f>
        <v>1068</v>
      </c>
      <c r="N57" s="208">
        <f>IFERROR(IF(VLOOKUP(VLOOKUP($C$55,Data!$B$3:$X$58,7,FALSE)&amp;"_"&amp;VLOOKUP($C$55,Data!$B$3:$X$58,3,FALSE)&amp;"_3",Airflow!$B$6:$N$25,12,FALSE)="","",VLOOKUP(VLOOKUP($C$55,Data!$B$3:$X$58,7,FALSE)&amp;"_"&amp;VLOOKUP($C$55,Data!$B$3:$X$58,3,FALSE)&amp;"_3",Airflow!$B$6:$N$25,12,FALSE)),"")</f>
        <v>1034</v>
      </c>
      <c r="O57" s="208">
        <f>IFERROR(IF(VLOOKUP(VLOOKUP($C$55,Data!$B$3:$X$58,7,FALSE)&amp;"_"&amp;VLOOKUP($C$55,Data!$B$3:$X$58,3,FALSE)&amp;"_3",Airflow!$B$6:$N$25,13,FALSE)="","",VLOOKUP(VLOOKUP($C$55,Data!$B$3:$X$58,7,FALSE)&amp;"_"&amp;VLOOKUP($C$55,Data!$B$3:$X$58,3,FALSE)&amp;"_3",Airflow!$B$6:$N$25,13,FALSE)),"")</f>
        <v>993</v>
      </c>
      <c r="P57" s="206"/>
      <c r="Q57" s="195"/>
      <c r="R57" s="207"/>
      <c r="S57" s="213"/>
      <c r="T57" s="208" t="str">
        <f>IFERROR(IF(VLOOKUP(VLOOKUP($S56,Data!$B$3:$X$58,10,FALSE)&amp;"_"&amp;VLOOKUP($S56,Data!$B$3:$X$58,7,FALSE)&amp;"_"&amp;VLOOKUP($S56,Data!$B$3:$X$58,9,FALSE)&amp;"_2",'Electrial data'!$C$17:P$48,3,FALSE)="","",VLOOKUP(VLOOKUP($S56,Data!$B$3:$X$58,10,FALSE)&amp;"_"&amp;VLOOKUP($S56,Data!$B$3:$X$58,7,FALSE)&amp;"_"&amp;VLOOKUP($S56,Data!$B$3:$X$58,9,FALSE)&amp;"_2",'Electrial data'!$C$17:$P$48,3,FALSE)),"")</f>
        <v/>
      </c>
      <c r="U57" s="208" t="str">
        <f>IFERROR(IF(VLOOKUP(VLOOKUP($S56,Data!$B$3:$X$58,10,FALSE)&amp;"_"&amp;VLOOKUP($S56,Data!$B$3:$X$58,7,FALSE)&amp;"_"&amp;VLOOKUP($S56,Data!$B$3:$X$58,9,FALSE)&amp;"_2",'Electrial data'!$C$17:Q$48,4,FALSE)="","",VLOOKUP(VLOOKUP($S56,Data!$B$3:$X$58,10,FALSE)&amp;"_"&amp;VLOOKUP($S56,Data!$B$3:$X$58,7,FALSE)&amp;"_"&amp;VLOOKUP($S56,Data!$B$3:$X$58,9,FALSE)&amp;"_2",'Electrial data'!$C$17:$P$48,4,FALSE)),"")</f>
        <v/>
      </c>
      <c r="V57" s="208" t="str">
        <f>IFERROR(IF(VLOOKUP(VLOOKUP($S56,Data!$B$3:$X$58,10,FALSE)&amp;"_"&amp;VLOOKUP($S56,Data!$B$3:$X$58,7,FALSE)&amp;"_"&amp;VLOOKUP($S56,Data!$B$3:$X$58,9,FALSE)&amp;"_2",'Electrial data'!$C$17:R$48,5,FALSE)="","",VLOOKUP(VLOOKUP($S56,Data!$B$3:$X$58,10,FALSE)&amp;"_"&amp;VLOOKUP($S56,Data!$B$3:$X$58,7,FALSE)&amp;"_"&amp;VLOOKUP($S56,Data!$B$3:$X$58,9,FALSE)&amp;"_2",'Electrial data'!$C$17:$P$48,5,FALSE)),"")</f>
        <v/>
      </c>
      <c r="W57" s="208" t="str">
        <f>IFERROR(IF(VLOOKUP(VLOOKUP($S56,Data!$B$3:$X$58,10,FALSE)&amp;"_"&amp;VLOOKUP($S56,Data!$B$3:$X$58,7,FALSE)&amp;"_"&amp;VLOOKUP($S56,Data!$B$3:$X$58,9,FALSE)&amp;"_2",'Electrial data'!$C$17:S$48,6,FALSE)="","",VLOOKUP(VLOOKUP($S56,Data!$B$3:$X$58,10,FALSE)&amp;"_"&amp;VLOOKUP($S56,Data!$B$3:$X$58,7,FALSE)&amp;"_"&amp;VLOOKUP($S56,Data!$B$3:$X$58,9,FALSE)&amp;"_2",'Electrial data'!$C$17:$P$48,6,FALSE)),"")</f>
        <v/>
      </c>
      <c r="X57" s="208" t="str">
        <f>IFERROR(IF(VLOOKUP(VLOOKUP($S56,Data!$B$3:$X$58,10,FALSE)&amp;"_"&amp;VLOOKUP($S56,Data!$B$3:$X$58,7,FALSE)&amp;"_"&amp;VLOOKUP($S56,Data!$B$3:$X$58,9,FALSE)&amp;"_2",'Electrial data'!$C$17:R$48,7,FALSE)="","",VLOOKUP(VLOOKUP($S56,Data!$B$3:$X$58,10,FALSE)&amp;"_"&amp;VLOOKUP($S56,Data!$B$3:$X$58,7,FALSE)&amp;"_"&amp;VLOOKUP($S56,Data!$B$3:$X$58,9,FALSE)&amp;"_2",'Electrial data'!$C$17:$P$48,7,FALSE)),"")</f>
        <v/>
      </c>
      <c r="Y57" s="208" t="str">
        <f>IFERROR(IF(VLOOKUP(VLOOKUP($S56,Data!$B$3:$X$58,10,FALSE)&amp;"_"&amp;VLOOKUP($S56,Data!$B$3:$X$58,7,FALSE)&amp;"_"&amp;VLOOKUP($S56,Data!$B$3:$X$58,9,FALSE)&amp;"_2",'Electrial data'!$C$17:S$48,8,FALSE)="","",VLOOKUP(VLOOKUP($S56,Data!$B$3:$X$58,10,FALSE)&amp;"_"&amp;VLOOKUP($S56,Data!$B$3:$X$58,7,FALSE)&amp;"_"&amp;VLOOKUP($S56,Data!$B$3:$X$58,9,FALSE)&amp;"_2",'Electrial data'!$C$17:$P$48,8,FALSE)),"")</f>
        <v/>
      </c>
      <c r="Z57" s="208" t="str">
        <f>IFERROR(IF(VLOOKUP(VLOOKUP($S56,Data!$B$3:$X$58,10,FALSE)&amp;"_"&amp;VLOOKUP($S56,Data!$B$3:$X$58,7,FALSE)&amp;"_"&amp;VLOOKUP($S56,Data!$B$3:$X$58,9,FALSE)&amp;"_2",'Electrial data'!$C$17:T$48,9,FALSE)="","",VLOOKUP(VLOOKUP($S56,Data!$B$3:$X$58,10,FALSE)&amp;"_"&amp;VLOOKUP($S56,Data!$B$3:$X$58,7,FALSE)&amp;"_"&amp;VLOOKUP($S56,Data!$B$3:$X$58,9,FALSE)&amp;"_2",'Electrial data'!$C$17:$P$48,9,FALSE)),"")</f>
        <v/>
      </c>
      <c r="AA57" s="208" t="str">
        <f>IFERROR(IF(VLOOKUP(VLOOKUP($S56,Data!$B$3:$X$58,10,FALSE)&amp;"_"&amp;VLOOKUP($S56,Data!$B$3:$X$58,7,FALSE)&amp;"_"&amp;VLOOKUP($S56,Data!$B$3:$X$58,9,FALSE)&amp;"_2",'Electrial data'!$C$17:U$48,10,FALSE)="","",VLOOKUP(VLOOKUP($S56,Data!$B$3:$X$58,10,FALSE)&amp;"_"&amp;VLOOKUP($S56,Data!$B$3:$X$58,7,FALSE)&amp;"_"&amp;VLOOKUP($S56,Data!$B$3:$X$58,9,FALSE)&amp;"_2",'Electrial data'!$C$17:$P$48,10,FALSE)),"")</f>
        <v/>
      </c>
      <c r="AB57" s="208" t="str">
        <f>IFERROR(IF(VLOOKUP(VLOOKUP($S56,Data!$B$3:$X$58,10,FALSE)&amp;"_"&amp;VLOOKUP($S56,Data!$B$3:$X$58,7,FALSE)&amp;"_"&amp;VLOOKUP($S56,Data!$B$3:$X$58,9,FALSE)&amp;"_2",'Electrial data'!$C$17:V$48,11,FALSE)="","",VLOOKUP(VLOOKUP($S56,Data!$B$3:$X$58,10,FALSE)&amp;"_"&amp;VLOOKUP($S56,Data!$B$3:$X$58,7,FALSE)&amp;"_"&amp;VLOOKUP($S56,Data!$B$3:$X$58,9,FALSE)&amp;"_2",'Electrial data'!$C$17:$P$48,11,FALSE)),"")</f>
        <v/>
      </c>
      <c r="AC57" s="208" t="str">
        <f>IFERROR(IF(VLOOKUP(VLOOKUP($S56,Data!$B$3:$X$58,10,FALSE)&amp;"_"&amp;VLOOKUP($S56,Data!$B$3:$X$58,7,FALSE)&amp;"_"&amp;VLOOKUP($S56,Data!$B$3:$X$58,9,FALSE)&amp;"_2",'Electrial data'!$C$17:W$48,12,FALSE)="","",VLOOKUP(VLOOKUP($S56,Data!$B$3:$X$58,10,FALSE)&amp;"_"&amp;VLOOKUP($S56,Data!$B$3:$X$58,7,FALSE)&amp;"_"&amp;VLOOKUP($S56,Data!$B$3:$X$58,9,FALSE)&amp;"_2",'Electrial data'!$C$17:$P$48,12,FALSE)),"")</f>
        <v/>
      </c>
      <c r="AD57" s="208" t="str">
        <f>IFERROR(IF(VLOOKUP(VLOOKUP($S56,Data!$B$3:$X$58,10,FALSE)&amp;"_"&amp;VLOOKUP($S56,Data!$B$3:$X$58,7,FALSE)&amp;"_"&amp;VLOOKUP($S56,Data!$B$3:$X$58,9,FALSE)&amp;"_2",'Electrial data'!$C$17:X$48,13,FALSE)="","",VLOOKUP(VLOOKUP($S56,Data!$B$3:$X$58,10,FALSE)&amp;"_"&amp;VLOOKUP($S56,Data!$B$3:$X$58,7,FALSE)&amp;"_"&amp;VLOOKUP($S56,Data!$B$3:$X$58,9,FALSE)&amp;"_2",'Electrial data'!$C$17:$P$48,13,FALSE)),"")</f>
        <v/>
      </c>
      <c r="AE57" s="208" t="str">
        <f>IFERROR(IF(VLOOKUP(VLOOKUP($S56,Data!$B$3:$X$58,10,FALSE)&amp;"_"&amp;VLOOKUP($S56,Data!$B$3:$X$58,7,FALSE)&amp;"_"&amp;VLOOKUP($S56,Data!$B$3:$X$58,9,FALSE)&amp;"_2",'Electrial data'!$C$17:Y$48,14,FALSE)="","",VLOOKUP(VLOOKUP($S56,Data!$B$3:$X$58,10,FALSE)&amp;"_"&amp;VLOOKUP($S56,Data!$B$3:$X$58,7,FALSE)&amp;"_"&amp;VLOOKUP($S56,Data!$B$3:$X$58,9,FALSE)&amp;"_2",'Electrial data'!$C$17:$P$48,14,FALSE)),"")</f>
        <v/>
      </c>
      <c r="AF57" s="206"/>
      <c r="AG57" s="195"/>
    </row>
    <row r="58" spans="1:33" ht="18.75" customHeight="1">
      <c r="A58" s="88"/>
      <c r="B58" s="115"/>
      <c r="C58" s="212"/>
      <c r="D58" s="212"/>
      <c r="E58" s="208" t="str">
        <f>IFERROR(IF(VLOOKUP(VLOOKUP($C$55,Data!$B$3:$X$58,7,FALSE)&amp;"_"&amp;VLOOKUP($C$55,Data!$B$3:$X$58,3,FALSE)&amp;"_4",Airflow!$B$6:$N$25,3,FALSE)="","",VLOOKUP(VLOOKUP($C$55,Data!$B$3:$X$58,7,FALSE)&amp;"_"&amp;VLOOKUP($C$55,Data!$B$3:$X$58,3,FALSE)&amp;"_4",Airflow!$B$6:$N$25,3,FALSE)),"")</f>
        <v>4#</v>
      </c>
      <c r="F58" s="208">
        <f>IFERROR(IF(VLOOKUP(VLOOKUP($C$55,Data!$B$3:$X$58,7,FALSE)&amp;"_"&amp;VLOOKUP($C$55,Data!$B$3:$X$58,3,FALSE)&amp;"_4",Airflow!$B$6:$N$25,4,FALSE)="","",VLOOKUP(VLOOKUP($C$55,Data!$B$3:$X$58,7,FALSE)&amp;"_"&amp;VLOOKUP($C$55,Data!$B$3:$X$58,3,FALSE)&amp;"_4",Airflow!$B$6:$N$25,4,FALSE)),"")</f>
        <v>1426</v>
      </c>
      <c r="G58" s="208">
        <f>IFERROR(IF(VLOOKUP(VLOOKUP($C$55,Data!$B$3:$X$58,7,FALSE)&amp;"_"&amp;VLOOKUP($C$55,Data!$B$3:$X$58,3,FALSE)&amp;"_4",Airflow!$B$6:$N$25,5,FALSE)="","",VLOOKUP(VLOOKUP($C$55,Data!$B$3:$X$58,7,FALSE)&amp;"_"&amp;VLOOKUP($C$55,Data!$B$3:$X$58,3,FALSE)&amp;"_4",Airflow!$B$6:$N$25,5,FALSE)),"")</f>
        <v>1389</v>
      </c>
      <c r="H58" s="208">
        <f>IFERROR(IF(VLOOKUP(VLOOKUP($C$55,Data!$B$3:$X$58,7,FALSE)&amp;"_"&amp;VLOOKUP($C$55,Data!$B$3:$X$58,3,FALSE)&amp;"_4",Airflow!$B$6:$N$25,6,FALSE)="","",VLOOKUP(VLOOKUP($C$55,Data!$B$3:$X$58,7,FALSE)&amp;"_"&amp;VLOOKUP($C$55,Data!$B$3:$X$58,3,FALSE)&amp;"_4",Airflow!$B$6:$N$25,6,FALSE)),"")</f>
        <v>1353</v>
      </c>
      <c r="I58" s="208">
        <f>IFERROR(IF(VLOOKUP(VLOOKUP($C$55,Data!$B$3:$X$58,7,FALSE)&amp;"_"&amp;VLOOKUP($C$55,Data!$B$3:$X$58,3,FALSE)&amp;"_4",Airflow!$B$6:$N$25,7,FALSE)="","",VLOOKUP(VLOOKUP($C$55,Data!$B$3:$X$58,7,FALSE)&amp;"_"&amp;VLOOKUP($C$55,Data!$B$3:$X$58,3,FALSE)&amp;"_4",Airflow!$B$6:$N$25,7,FALSE)),"")</f>
        <v>1318</v>
      </c>
      <c r="J58" s="208">
        <f>IFERROR(IF(VLOOKUP(VLOOKUP($C$55,Data!$B$3:$X$58,7,FALSE)&amp;"_"&amp;VLOOKUP($C$55,Data!$B$3:$X$58,3,FALSE)&amp;"_4",Airflow!$B$6:$N$25,8,FALSE)="","",VLOOKUP(VLOOKUP($C$55,Data!$B$3:$X$58,7,FALSE)&amp;"_"&amp;VLOOKUP($C$55,Data!$B$3:$X$58,3,FALSE)&amp;"_4",Airflow!$B$6:$N$25,8,FALSE)),"")</f>
        <v>1289</v>
      </c>
      <c r="K58" s="208">
        <f>IFERROR(IF(VLOOKUP(VLOOKUP($C$55,Data!$B$3:$X$58,7,FALSE)&amp;"_"&amp;VLOOKUP($C$55,Data!$B$3:$X$58,3,FALSE)&amp;"_4",Airflow!$B$6:$N$25,9,FALSE)="","",VLOOKUP(VLOOKUP($C$55,Data!$B$3:$X$58,7,FALSE)&amp;"_"&amp;VLOOKUP($C$55,Data!$B$3:$X$58,3,FALSE)&amp;"_4",Airflow!$B$6:$N$25,9,FALSE)),"")</f>
        <v>1241</v>
      </c>
      <c r="L58" s="208">
        <f>IFERROR(IF(VLOOKUP(VLOOKUP($C$55,Data!$B$3:$X$58,7,FALSE)&amp;"_"&amp;VLOOKUP($C$55,Data!$B$3:$X$58,3,FALSE)&amp;"_4",Airflow!$B$6:$N$25,10,FALSE)="","",VLOOKUP(VLOOKUP($C$55,Data!$B$3:$X$58,7,FALSE)&amp;"_"&amp;VLOOKUP($C$55,Data!$B$3:$X$58,3,FALSE)&amp;"_4",Airflow!$B$6:$N$25,10,FALSE)),"")</f>
        <v>1179</v>
      </c>
      <c r="M58" s="208">
        <f>IFERROR(IF(VLOOKUP(VLOOKUP($C$55,Data!$B$3:$X$58,7,FALSE)&amp;"_"&amp;VLOOKUP($C$55,Data!$B$3:$X$58,3,FALSE)&amp;"_4",Airflow!$B$6:$N$25,11,FALSE)="","",VLOOKUP(VLOOKUP($C$55,Data!$B$3:$X$58,7,FALSE)&amp;"_"&amp;VLOOKUP($C$55,Data!$B$3:$X$58,3,FALSE)&amp;"_4",Airflow!$B$6:$N$25,11,FALSE)),"")</f>
        <v>1111</v>
      </c>
      <c r="N58" s="208">
        <f>IFERROR(IF(VLOOKUP(VLOOKUP($C$55,Data!$B$3:$X$58,7,FALSE)&amp;"_"&amp;VLOOKUP($C$55,Data!$B$3:$X$58,3,FALSE)&amp;"_4",Airflow!$B$6:$N$25,12,FALSE)="","",VLOOKUP(VLOOKUP($C$55,Data!$B$3:$X$58,7,FALSE)&amp;"_"&amp;VLOOKUP($C$55,Data!$B$3:$X$58,3,FALSE)&amp;"_4",Airflow!$B$6:$N$25,12,FALSE)),"")</f>
        <v>1068</v>
      </c>
      <c r="O58" s="208">
        <f>IFERROR(IF(VLOOKUP(VLOOKUP($C$55,Data!$B$3:$X$58,7,FALSE)&amp;"_"&amp;VLOOKUP($C$55,Data!$B$3:$X$58,3,FALSE)&amp;"_4",Airflow!$B$6:$N$25,13,FALSE)="","",VLOOKUP(VLOOKUP($C$55,Data!$B$3:$X$58,7,FALSE)&amp;"_"&amp;VLOOKUP($C$55,Data!$B$3:$X$58,3,FALSE)&amp;"_4",Airflow!$B$6:$N$25,13,FALSE)),"")</f>
        <v>1034</v>
      </c>
      <c r="P58" s="206"/>
      <c r="Q58" s="195"/>
      <c r="R58" s="207"/>
      <c r="S58" s="219"/>
      <c r="T58" s="215"/>
      <c r="U58" s="220"/>
      <c r="V58" s="215"/>
      <c r="W58" s="216"/>
      <c r="X58" s="217"/>
      <c r="Y58" s="217"/>
      <c r="Z58" s="217"/>
      <c r="AA58" s="217"/>
      <c r="AB58" s="217"/>
      <c r="AC58" s="217"/>
      <c r="AD58" s="216"/>
      <c r="AE58" s="215"/>
      <c r="AF58" s="206"/>
      <c r="AG58" s="195"/>
    </row>
    <row r="59" spans="1:33" ht="18.75" customHeight="1">
      <c r="A59" s="88"/>
      <c r="B59" s="115"/>
      <c r="C59" s="212"/>
      <c r="D59" s="212"/>
      <c r="E59" s="208" t="str">
        <f>IFERROR(IF(VLOOKUP(VLOOKUP($C$55,Data!$B$3:$X$58,7,FALSE)&amp;"_"&amp;VLOOKUP($C$55,Data!$B$3:$X$58,3,FALSE)&amp;"_5",Airflow!$B$6:$N$25,3,FALSE)="","",VLOOKUP(VLOOKUP($C$55,Data!$B$3:$X$58,7,FALSE)&amp;"_"&amp;VLOOKUP($C$55,Data!$B$3:$X$58,3,FALSE)&amp;"_5",Airflow!$B$6:$N$25,3,FALSE)),"")</f>
        <v>5*</v>
      </c>
      <c r="F59" s="208">
        <f>IFERROR(IF(VLOOKUP(VLOOKUP($C$55,Data!$B$3:$X$58,7,FALSE)&amp;"_"&amp;VLOOKUP($C$55,Data!$B$3:$X$58,3,FALSE)&amp;"_5",Airflow!$B$6:$N$25,4,FALSE)="","",VLOOKUP(VLOOKUP($C$55,Data!$B$3:$X$58,7,FALSE)&amp;"_"&amp;VLOOKUP($C$55,Data!$B$3:$X$58,3,FALSE)&amp;"_5",Airflow!$B$6:$N$25,4,FALSE)),"")</f>
        <v>1501</v>
      </c>
      <c r="G59" s="208">
        <f>IFERROR(IF(VLOOKUP(VLOOKUP($C$55,Data!$B$3:$X$58,7,FALSE)&amp;"_"&amp;VLOOKUP($C$55,Data!$B$3:$X$58,3,FALSE)&amp;"_5",Airflow!$B$6:$N$25,5,FALSE)="","",VLOOKUP(VLOOKUP($C$55,Data!$B$3:$X$58,7,FALSE)&amp;"_"&amp;VLOOKUP($C$55,Data!$B$3:$X$58,3,FALSE)&amp;"_5",Airflow!$B$6:$N$25,5,FALSE)),"")</f>
        <v>1474</v>
      </c>
      <c r="H59" s="208">
        <f>IFERROR(IF(VLOOKUP(VLOOKUP($C$55,Data!$B$3:$X$58,7,FALSE)&amp;"_"&amp;VLOOKUP($C$55,Data!$B$3:$X$58,3,FALSE)&amp;"_5",Airflow!$B$6:$N$25,6,FALSE)="","",VLOOKUP(VLOOKUP($C$55,Data!$B$3:$X$58,7,FALSE)&amp;"_"&amp;VLOOKUP($C$55,Data!$B$3:$X$58,3,FALSE)&amp;"_5",Airflow!$B$6:$N$25,6,FALSE)),"")</f>
        <v>1443</v>
      </c>
      <c r="I59" s="208">
        <f>IFERROR(IF(VLOOKUP(VLOOKUP($C$55,Data!$B$3:$X$58,7,FALSE)&amp;"_"&amp;VLOOKUP($C$55,Data!$B$3:$X$58,3,FALSE)&amp;"_5",Airflow!$B$6:$N$25,7,FALSE)="","",VLOOKUP(VLOOKUP($C$55,Data!$B$3:$X$58,7,FALSE)&amp;"_"&amp;VLOOKUP($C$55,Data!$B$3:$X$58,3,FALSE)&amp;"_5",Airflow!$B$6:$N$25,7,FALSE)),"")</f>
        <v>1411</v>
      </c>
      <c r="J59" s="208">
        <f>IFERROR(IF(VLOOKUP(VLOOKUP($C$55,Data!$B$3:$X$58,7,FALSE)&amp;"_"&amp;VLOOKUP($C$55,Data!$B$3:$X$58,3,FALSE)&amp;"_5",Airflow!$B$6:$N$25,8,FALSE)="","",VLOOKUP(VLOOKUP($C$55,Data!$B$3:$X$58,7,FALSE)&amp;"_"&amp;VLOOKUP($C$55,Data!$B$3:$X$58,3,FALSE)&amp;"_5",Airflow!$B$6:$N$25,8,FALSE)),"")</f>
        <v>1377</v>
      </c>
      <c r="K59" s="208">
        <f>IFERROR(IF(VLOOKUP(VLOOKUP($C$55,Data!$B$3:$X$58,7,FALSE)&amp;"_"&amp;VLOOKUP($C$55,Data!$B$3:$X$58,3,FALSE)&amp;"_5",Airflow!$B$6:$N$25,9,FALSE)="","",VLOOKUP(VLOOKUP($C$55,Data!$B$3:$X$58,7,FALSE)&amp;"_"&amp;VLOOKUP($C$55,Data!$B$3:$X$58,3,FALSE)&amp;"_5",Airflow!$B$6:$N$25,9,FALSE)),"")</f>
        <v>1339</v>
      </c>
      <c r="L59" s="208">
        <f>IFERROR(IF(VLOOKUP(VLOOKUP($C$55,Data!$B$3:$X$58,7,FALSE)&amp;"_"&amp;VLOOKUP($C$55,Data!$B$3:$X$58,3,FALSE)&amp;"_5",Airflow!$B$6:$N$25,10,FALSE)="","",VLOOKUP(VLOOKUP($C$55,Data!$B$3:$X$58,7,FALSE)&amp;"_"&amp;VLOOKUP($C$55,Data!$B$3:$X$58,3,FALSE)&amp;"_5",Airflow!$B$6:$N$25,10,FALSE)),"")</f>
        <v>1304</v>
      </c>
      <c r="M59" s="208">
        <f>IFERROR(IF(VLOOKUP(VLOOKUP($C$55,Data!$B$3:$X$58,7,FALSE)&amp;"_"&amp;VLOOKUP($C$55,Data!$B$3:$X$58,3,FALSE)&amp;"_5",Airflow!$B$6:$N$25,11,FALSE)="","",VLOOKUP(VLOOKUP($C$55,Data!$B$3:$X$58,7,FALSE)&amp;"_"&amp;VLOOKUP($C$55,Data!$B$3:$X$58,3,FALSE)&amp;"_5",Airflow!$B$6:$N$25,11,FALSE)),"")</f>
        <v>1243</v>
      </c>
      <c r="N59" s="208">
        <f>IFERROR(IF(VLOOKUP(VLOOKUP($C$55,Data!$B$3:$X$58,7,FALSE)&amp;"_"&amp;VLOOKUP($C$55,Data!$B$3:$X$58,3,FALSE)&amp;"_5",Airflow!$B$6:$N$25,12,FALSE)="","",VLOOKUP(VLOOKUP($C$55,Data!$B$3:$X$58,7,FALSE)&amp;"_"&amp;VLOOKUP($C$55,Data!$B$3:$X$58,3,FALSE)&amp;"_5",Airflow!$B$6:$N$25,12,FALSE)),"")</f>
        <v>1178</v>
      </c>
      <c r="O59" s="208">
        <f>IFERROR(IF(VLOOKUP(VLOOKUP($C$55,Data!$B$3:$X$58,7,FALSE)&amp;"_"&amp;VLOOKUP($C$55,Data!$B$3:$X$58,3,FALSE)&amp;"_5",Airflow!$B$6:$N$25,13,FALSE)="","",VLOOKUP(VLOOKUP($C$55,Data!$B$3:$X$58,7,FALSE)&amp;"_"&amp;VLOOKUP($C$55,Data!$B$3:$X$58,3,FALSE)&amp;"_5",Airflow!$B$6:$N$25,13,FALSE)),"")</f>
        <v>1134</v>
      </c>
      <c r="P59" s="206"/>
      <c r="Q59" s="195"/>
      <c r="R59" s="207"/>
      <c r="S59" s="241" t="str">
        <f>IF(Front!F39= "120 V, 60 Hz, 1 ph.","","Unit Size")</f>
        <v>Unit Size</v>
      </c>
      <c r="T59" s="241" t="str">
        <f>IF(Front!F39= "120 V, 60 Hz, 1 ph.","","Circuit")</f>
        <v>Circuit</v>
      </c>
      <c r="U59" s="242" t="str">
        <f>IF(Front!F39= "120 V, 60 Hz, 1 ph.","","Total Heat Capacity")</f>
        <v>Total Heat Capacity</v>
      </c>
      <c r="V59" s="241" t="str">
        <f>IF(Front!F39= "120 V, 60 Hz, 1 ph.","","Electric Heating capacity")</f>
        <v>Electric Heating capacity</v>
      </c>
      <c r="W59" s="241"/>
      <c r="X59" s="242" t="str">
        <f>IF(Front!D39= "120 V, 60 Hz, 1 ph.","","Blower Amps (A)")</f>
        <v>Blower Amps (A)</v>
      </c>
      <c r="Y59" s="242"/>
      <c r="Z59" s="242" t="str">
        <f>IF(Front!F39= "120 V, 60 Hz, 1 ph.","","Total Current (A)")</f>
        <v>Total Current (A)</v>
      </c>
      <c r="AA59" s="242"/>
      <c r="AB59" s="242" t="str">
        <f>IF(Front!F39= "120 V, 60 Hz, 1 ph.","","Minimum Circuit Ampacity (A)")</f>
        <v>Minimum Circuit Ampacity (A)</v>
      </c>
      <c r="AC59" s="242"/>
      <c r="AD59" s="242" t="str">
        <f>IF(Front!F39= "120 V, 60 Hz, 1 ph.","","Maximum Circuit Breaker size[2] (A)")</f>
        <v>Maximum Circuit Breaker size[2] (A)</v>
      </c>
      <c r="AE59" s="242"/>
      <c r="AF59" s="206"/>
      <c r="AG59" s="195"/>
    </row>
    <row r="60" spans="1:33" ht="18.75" customHeight="1">
      <c r="A60" s="88"/>
      <c r="B60" s="115"/>
      <c r="C60" s="218"/>
      <c r="D60" s="218"/>
      <c r="E60" s="218"/>
      <c r="F60" s="218"/>
      <c r="G60" s="218"/>
      <c r="H60" s="218"/>
      <c r="I60" s="218"/>
      <c r="J60" s="218"/>
      <c r="K60" s="218"/>
      <c r="L60" s="218"/>
      <c r="M60" s="218"/>
      <c r="N60" s="218"/>
      <c r="O60" s="218"/>
      <c r="P60" s="206"/>
      <c r="Q60" s="195"/>
      <c r="R60" s="207"/>
      <c r="S60" s="241"/>
      <c r="T60" s="241"/>
      <c r="U60" s="242"/>
      <c r="V60" s="211" t="str">
        <f>IF(Front!F39= "120 V, 60 Hz, 1 ph.","","kW")</f>
        <v>kW</v>
      </c>
      <c r="W60" s="211" t="str">
        <f>IF(Front!F39= "120 V, 60 Hz, 1 ph.","","BTUH")</f>
        <v>BTUH</v>
      </c>
      <c r="X60" s="242"/>
      <c r="Y60" s="242"/>
      <c r="Z60" s="242"/>
      <c r="AA60" s="242"/>
      <c r="AB60" s="242"/>
      <c r="AC60" s="242"/>
      <c r="AD60" s="242"/>
      <c r="AE60" s="242"/>
      <c r="AF60" s="206"/>
      <c r="AG60" s="195"/>
    </row>
    <row r="61" spans="1:33" ht="18.75" customHeight="1">
      <c r="A61" s="88"/>
      <c r="B61" s="115"/>
      <c r="C61" s="245" t="str">
        <f>IF(Front!F32= "","","Unit Size")</f>
        <v>Unit Size</v>
      </c>
      <c r="D61" s="245"/>
      <c r="E61" s="205" t="str">
        <f>IF(Front!F32= "","",VLOOKUP(VLOOKUP(Front!F32,Data!$B$3:$X$58,10,FALSE),Airflow!$BB$6:$BK$9,2,FALSE))</f>
        <v>Tap</v>
      </c>
      <c r="F61" s="205">
        <f>IFERROR(IF(VLOOKUP(VLOOKUP(Front!F32,Data!$B$3:$X$58,10,FALSE),Airflow!$BB$6:$BK$9,3,FALSE)= "","",VLOOKUP(VLOOKUP(Front!F32,Data!$B$3:$X$58,10,FALSE),Airflow!$BB$6:$BK$9,3,FALSE)),"")</f>
        <v>0.1</v>
      </c>
      <c r="G61" s="205">
        <f>IFERROR(IF(VLOOKUP(VLOOKUP(Front!F32,Data!$B$3:$X$58,10,FALSE),Airflow!$BB$6:$BK$9,4,FALSE)= "","",VLOOKUP(VLOOKUP(Front!F32,Data!$B$3:$X$58,10,FALSE),Airflow!$BB$6:$BK$9,4,FALSE)),"")</f>
        <v>0.2</v>
      </c>
      <c r="H61" s="205">
        <f>IFERROR(IF(VLOOKUP(VLOOKUP(Front!F32,Data!$B$3:$X$58,10,FALSE),Airflow!$BB$6:$BK$9,5,FALSE)= "","",VLOOKUP(VLOOKUP(Front!F32,Data!$B$3:$X$58,10,FALSE),Airflow!$BB$6:$BK$9,5,FALSE)),"")</f>
        <v>0.3</v>
      </c>
      <c r="I61" s="205">
        <f>IFERROR(IF(VLOOKUP(VLOOKUP(Front!F32,Data!$B$3:$X$58,10,FALSE),Airflow!$BB$6:$BK$9,6,FALSE)= "","",VLOOKUP(VLOOKUP(Front!F32,Data!$B$3:$X$58,10,FALSE),Airflow!$BB$6:$BK$9,6,FALSE)),"")</f>
        <v>0.4</v>
      </c>
      <c r="J61" s="205">
        <f>IFERROR(IF(VLOOKUP(VLOOKUP(Front!F32,Data!$B$3:$X$58,10,FALSE),Airflow!$BB$6:$BK$9,7,FALSE)= "","",VLOOKUP(VLOOKUP(Front!F32,Data!$B$3:$X$58,10,FALSE),Airflow!$BB$6:$BK$9,7,FALSE)),"")</f>
        <v>0.5</v>
      </c>
      <c r="K61" s="205">
        <f>IFERROR(IF(VLOOKUP(VLOOKUP(Front!F32,Data!$B$3:$X$58,10,FALSE),Airflow!$BB$6:$BK$9,8,FALSE)= "","",VLOOKUP(VLOOKUP(Front!F32,Data!$B$3:$X$58,10,FALSE),Airflow!$BB$6:$BK$9,8,FALSE)),"")</f>
        <v>0.6</v>
      </c>
      <c r="L61" s="205">
        <f>IFERROR(IF(VLOOKUP(VLOOKUP(Front!F32,Data!$B$3:$X$58,10,FALSE),Airflow!$BB$6:$BK$9,9,FALSE)= "","",VLOOKUP(VLOOKUP(Front!F32,Data!$B$3:$X$58,10,FALSE),Airflow!$BB$6:$BK$9,9,FALSE)),"")</f>
        <v>0.7</v>
      </c>
      <c r="M61" s="205">
        <f>IFERROR(IF(VLOOKUP(VLOOKUP(Front!F32,Data!$B$3:$X$58,10,FALSE),Airflow!$BB$6:$BK$9,10,FALSE)= "","",VLOOKUP(VLOOKUP(Front!F32,Data!$B$3:$X$58,10,FALSE),Airflow!$BB$6:$BK$9,10,FALSE)),"")</f>
        <v>0.8</v>
      </c>
      <c r="N61" s="205">
        <f>IFERROR(IF(VLOOKUP(VLOOKUP(Front!F32,Data!$B$3:$X$58,10,FALSE),Airflow!$BB$6:$BN$9,11,FALSE)= "","",VLOOKUP(VLOOKUP(Front!F32,Data!$B$3:$X$58,10,FALSE),Airflow!$BB$6:$BN$9,11,FALSE)),"")</f>
        <v>0.9</v>
      </c>
      <c r="O61" s="205">
        <f>IFERROR(IF(VLOOKUP(VLOOKUP(Front!F32,Data!$B$3:$X$58,10,FALSE),Airflow!$BB$6:$BN$9,12,FALSE)= "","",VLOOKUP(VLOOKUP(Front!F32,Data!$B$3:$X$58,10,FALSE),Airflow!$BB$6:$BN$9,12,FALSE)),"")</f>
        <v>1</v>
      </c>
      <c r="P61" s="206"/>
      <c r="Q61" s="195"/>
      <c r="R61" s="207"/>
      <c r="S61" s="241"/>
      <c r="T61" s="241"/>
      <c r="U61" s="242"/>
      <c r="V61" s="211" t="str">
        <f>IF(Front!F39= "120 V, 60 Hz, 1 ph.","","240 V[1]")</f>
        <v>240 V[1]</v>
      </c>
      <c r="W61" s="211" t="str">
        <f>IF(Front!F39= "120 V, 60 Hz, 1 ph.","","240 V[1]")</f>
        <v>240 V[1]</v>
      </c>
      <c r="X61" s="211" t="str">
        <f>IF(Front!D39= "120 V, 60 Hz, 1 ph.","","208 V")</f>
        <v>208 V</v>
      </c>
      <c r="Y61" s="211" t="str">
        <f>IF(Front!D39= "120 V, 60 Hz, 1 ph.","","240 V")</f>
        <v>240 V</v>
      </c>
      <c r="Z61" s="211" t="str">
        <f>IF(Front!F39= "120 V, 60 Hz, 1 ph.","","208 V")</f>
        <v>208 V</v>
      </c>
      <c r="AA61" s="211" t="str">
        <f>IF(Front!F39= "120 V, 60 Hz, 1 ph.","","240 V")</f>
        <v>240 V</v>
      </c>
      <c r="AB61" s="211" t="str">
        <f>IF(Front!F39= "120 V, 60 Hz, 1 ph.","","208 V")</f>
        <v>208 V</v>
      </c>
      <c r="AC61" s="211" t="str">
        <f>IF(Front!F39= "120 V, 60 Hz, 1 ph.","","240 V")</f>
        <v>240 V</v>
      </c>
      <c r="AD61" s="211" t="str">
        <f>IF(Front!F39= "120 V, 60 Hz, 1 ph.","","208 V")</f>
        <v>208 V</v>
      </c>
      <c r="AE61" s="211" t="str">
        <f>IF(Front!F39= "120 V, 60 Hz, 1 ph.","","240 V")</f>
        <v>240 V</v>
      </c>
      <c r="AF61" s="206"/>
      <c r="AG61" s="195"/>
    </row>
    <row r="62" spans="1:33" ht="18.75" customHeight="1">
      <c r="A62" s="88"/>
      <c r="B62" s="115"/>
      <c r="C62" s="245" t="str">
        <f>IF(Front!F32= "","",Front!F32)</f>
        <v>AMHE5D00B2N1</v>
      </c>
      <c r="D62" s="245"/>
      <c r="E62" s="208">
        <f>IFERROR(IF(VLOOKUP(VLOOKUP($C$62,Data!$B$3:$X$58,7,FALSE)&amp;"_"&amp;VLOOKUP($C$62,Data!$B$3:$X$58,3,FALSE)&amp;"_1",Airflow!$B$6:$N$25,3,FALSE)="","",VLOOKUP(VLOOKUP($C$62,Data!$B$3:$X$58,7,FALSE)&amp;"_"&amp;VLOOKUP($C$62,Data!$B$3:$X$58,3,FALSE)&amp;"_1",Airflow!$B$6:$N$25,3,FALSE)),"")</f>
        <v>1</v>
      </c>
      <c r="F62" s="208">
        <f>IFERROR(IF(VLOOKUP(VLOOKUP($C$62,Data!$B$3:$X$58,7,FALSE)&amp;"_"&amp;VLOOKUP($C$62,Data!$B$3:$X$58,3,FALSE)&amp;"_1",Airflow!$B$6:$N$25,4,FALSE)="","",VLOOKUP(VLOOKUP($C$62,Data!$B$3:$X$58,7,FALSE)&amp;"_"&amp;VLOOKUP($C$62,Data!$B$3:$X$58,3,FALSE)&amp;"_1",Airflow!$B$6:$N$25,4,FALSE)),"")</f>
        <v>858</v>
      </c>
      <c r="G62" s="208">
        <f>IFERROR(IF(VLOOKUP(VLOOKUP($C$62,Data!$B$3:$X$58,7,FALSE)&amp;"_"&amp;VLOOKUP($C$62,Data!$B$3:$X$58,3,FALSE)&amp;"_1",Airflow!$B$6:$N$25,5,FALSE)="","",VLOOKUP(VLOOKUP($C$62,Data!$B$3:$X$58,7,FALSE)&amp;"_"&amp;VLOOKUP($C$62,Data!$B$3:$X$58,3,FALSE)&amp;"_1",Airflow!$B$6:$N$25,5,FALSE)),"")</f>
        <v>798</v>
      </c>
      <c r="H62" s="208">
        <f>IFERROR(IF(VLOOKUP(VLOOKUP($C$62,Data!$B$3:$X$58,7,FALSE)&amp;"_"&amp;VLOOKUP($C$62,Data!$B$3:$X$58,3,FALSE)&amp;"_1",Airflow!$B$6:$N$25,6,FALSE)="","",VLOOKUP(VLOOKUP($C$62,Data!$B$3:$X$58,7,FALSE)&amp;"_"&amp;VLOOKUP($C$62,Data!$B$3:$X$58,3,FALSE)&amp;"_1",Airflow!$B$6:$N$25,6,FALSE)),"")</f>
        <v>731</v>
      </c>
      <c r="I62" s="208">
        <f>IFERROR(IF(VLOOKUP(VLOOKUP($C$62,Data!$B$3:$X$58,7,FALSE)&amp;"_"&amp;VLOOKUP($C$62,Data!$B$3:$X$58,3,FALSE)&amp;"_1",Airflow!$B$6:$N$25,7,FALSE)="","",VLOOKUP(VLOOKUP($C$62,Data!$B$3:$X$58,7,FALSE)&amp;"_"&amp;VLOOKUP($C$62,Data!$B$3:$X$58,3,FALSE)&amp;"_1",Airflow!$B$6:$N$25,7,FALSE)),"")</f>
        <v>661</v>
      </c>
      <c r="J62" s="208">
        <f>IFERROR(IF(VLOOKUP(VLOOKUP($C$62,Data!$B$3:$X$58,7,FALSE)&amp;"_"&amp;VLOOKUP($C$62,Data!$B$3:$X$58,3,FALSE)&amp;"_1",Airflow!$B$6:$N$25,8,FALSE)="","",VLOOKUP(VLOOKUP($C$62,Data!$B$3:$X$58,7,FALSE)&amp;"_"&amp;VLOOKUP($C$62,Data!$B$3:$X$58,3,FALSE)&amp;"_1",Airflow!$B$6:$N$25,8,FALSE)),"")</f>
        <v>596</v>
      </c>
      <c r="K62" s="208">
        <f>IFERROR(IF(VLOOKUP(VLOOKUP($C$62,Data!$B$3:$X$58,7,FALSE)&amp;"_"&amp;VLOOKUP($C$62,Data!$B$3:$X$58,3,FALSE)&amp;"_1",Airflow!$B$6:$N$25,9,FALSE)="","",VLOOKUP(VLOOKUP($C$62,Data!$B$3:$X$58,7,FALSE)&amp;"_"&amp;VLOOKUP($C$62,Data!$B$3:$X$58,3,FALSE)&amp;"_1",Airflow!$B$6:$N$25,9,FALSE)),"")</f>
        <v>536</v>
      </c>
      <c r="L62" s="208">
        <f>IFERROR(IF(VLOOKUP(VLOOKUP($C$62,Data!$B$3:$X$58,7,FALSE)&amp;"_"&amp;VLOOKUP($C$62,Data!$B$3:$X$58,3,FALSE)&amp;"_1",Airflow!$B$6:$N$25,10,FALSE)="","",VLOOKUP(VLOOKUP($C$62,Data!$B$3:$X$58,7,FALSE)&amp;"_"&amp;VLOOKUP($C$62,Data!$B$3:$X$58,3,FALSE)&amp;"_1",Airflow!$B$6:$N$25,10,FALSE)),"")</f>
        <v>492</v>
      </c>
      <c r="M62" s="208">
        <f>IFERROR(IF(VLOOKUP(VLOOKUP($C$62,Data!$B$3:$X$58,7,FALSE)&amp;"_"&amp;VLOOKUP($C$62,Data!$B$3:$X$58,3,FALSE)&amp;"_1",Airflow!$B$6:$N$25,11,FALSE)="","",VLOOKUP(VLOOKUP($C$62,Data!$B$3:$X$58,7,FALSE)&amp;"_"&amp;VLOOKUP($C$62,Data!$B$3:$X$58,3,FALSE)&amp;"_1",Airflow!$B$6:$N$25,11,FALSE)),"")</f>
        <v>450</v>
      </c>
      <c r="N62" s="208">
        <f>IFERROR(IF(VLOOKUP(VLOOKUP($C$62,Data!$B$3:$X$58,7,FALSE)&amp;"_"&amp;VLOOKUP($C$62,Data!$B$3:$X$58,3,FALSE)&amp;"_1",Airflow!$B$6:$N$25,12,FALSE)="","",VLOOKUP(VLOOKUP($C$62,Data!$B$3:$X$58,7,FALSE)&amp;"_"&amp;VLOOKUP($C$62,Data!$B$3:$X$58,3,FALSE)&amp;"_1",Airflow!$B$6:$N$25,12,FALSE)),"")</f>
        <v>449</v>
      </c>
      <c r="O62" s="208">
        <f>IFERROR(IF(VLOOKUP(VLOOKUP($C$62,Data!$B$3:$X$58,7,FALSE)&amp;"_"&amp;VLOOKUP($C$62,Data!$B$3:$X$58,3,FALSE)&amp;"_1",Airflow!$B$6:$N$25,13,FALSE)="","",VLOOKUP(VLOOKUP($C$62,Data!$B$3:$X$58,7,FALSE)&amp;"_"&amp;VLOOKUP($C$62,Data!$B$3:$X$58,3,FALSE)&amp;"_1",Airflow!$B$6:$N$25,13,FALSE)),"")</f>
        <v>449</v>
      </c>
      <c r="P62" s="206"/>
      <c r="Q62" s="195"/>
      <c r="R62" s="207"/>
      <c r="S62" s="205" t="str">
        <f>IF(Front!F39= "120 V, 60 Hz, 1 ph.","",Front!F32)</f>
        <v>AMHE5D00B2N1</v>
      </c>
      <c r="T62" s="208" t="str">
        <f>IFERROR(IF(VLOOKUP(VLOOKUP($S62,Data!$B$3:$X$58,10,FALSE)&amp;"_"&amp;VLOOKUP($S62,Data!$B$3:$X$58,7,FALSE)&amp;"_"&amp;VLOOKUP($S62,Data!$B$3:$X$58,9,FALSE)&amp;"_1",'Electrial data'!$C$17:P$48,3,FALSE)="","",VLOOKUP(VLOOKUP($S62,Data!$B$3:$X$58,10,FALSE)&amp;"_"&amp;VLOOKUP($S62,Data!$B$3:$X$58,7,FALSE)&amp;"_"&amp;VLOOKUP($S62,Data!$B$3:$X$58,9,FALSE)&amp;"_1",'Electrial data'!$C$17:$P$48,3,FALSE)),"")</f>
        <v>CKT 1</v>
      </c>
      <c r="U62" s="208">
        <f>IFERROR(IF(VLOOKUP(VLOOKUP($S62,Data!$B$3:$X$58,10,FALSE)&amp;"_"&amp;VLOOKUP($S62,Data!$B$3:$X$58,7,FALSE)&amp;"_"&amp;VLOOKUP($S62,Data!$B$3:$X$58,9,FALSE)&amp;"_1",'Electrial data'!$C$17:Q$48,4,FALSE)="","",VLOOKUP(VLOOKUP($S62,Data!$B$3:$X$58,10,FALSE)&amp;"_"&amp;VLOOKUP($S62,Data!$B$3:$X$58,7,FALSE)&amp;"_"&amp;VLOOKUP($S62,Data!$B$3:$X$58,9,FALSE)&amp;"_1",'Electrial data'!$C$17:$P$48,4,FALSE)),"")</f>
        <v>0</v>
      </c>
      <c r="V62" s="208">
        <f>IFERROR(IF(VLOOKUP(VLOOKUP($S62,Data!$B$3:$X$58,10,FALSE)&amp;"_"&amp;VLOOKUP($S62,Data!$B$3:$X$58,7,FALSE)&amp;"_"&amp;VLOOKUP($S62,Data!$B$3:$X$58,9,FALSE)&amp;"_1",'Electrial data'!$C$17:R$48,5,FALSE)="","",VLOOKUP(VLOOKUP($S62,Data!$B$3:$X$58,10,FALSE)&amp;"_"&amp;VLOOKUP($S62,Data!$B$3:$X$58,7,FALSE)&amp;"_"&amp;VLOOKUP($S62,Data!$B$3:$X$58,9,FALSE)&amp;"_1",'Electrial data'!$C$17:$P$48,5,FALSE)),"")</f>
        <v>0</v>
      </c>
      <c r="W62" s="208">
        <f>IFERROR(IF(VLOOKUP(VLOOKUP($S62,Data!$B$3:$X$58,10,FALSE)&amp;"_"&amp;VLOOKUP($S62,Data!$B$3:$X$58,7,FALSE)&amp;"_"&amp;VLOOKUP($S62,Data!$B$3:$X$58,9,FALSE)&amp;"_1",'Electrial data'!$C$17:S$48,6,FALSE)="","",VLOOKUP(VLOOKUP($S62,Data!$B$3:$X$58,10,FALSE)&amp;"_"&amp;VLOOKUP($S62,Data!$B$3:$X$58,7,FALSE)&amp;"_"&amp;VLOOKUP($S62,Data!$B$3:$X$58,9,FALSE)&amp;"_1",'Electrial data'!$C$17:$P$48,6,FALSE)),"")</f>
        <v>0</v>
      </c>
      <c r="X62" s="208">
        <f>IFERROR(IF(VLOOKUP(VLOOKUP($S62,Data!$B$3:$X$58,10,FALSE)&amp;"_"&amp;VLOOKUP($S62,Data!$B$3:$X$58,7,FALSE)&amp;"_"&amp;VLOOKUP($S62,Data!$B$3:$X$58,9,FALSE)&amp;"_1",'Electrial data'!$C$17:R$48,7,FALSE)="","",VLOOKUP(VLOOKUP($S62,Data!$B$3:$X$58,10,FALSE)&amp;"_"&amp;VLOOKUP($S62,Data!$B$3:$X$58,7,FALSE)&amp;"_"&amp;VLOOKUP($S62,Data!$B$3:$X$58,9,FALSE)&amp;"_1",'Electrial data'!$C$17:$P$48,7,FALSE)),"")</f>
        <v>6</v>
      </c>
      <c r="Y62" s="208">
        <f>IFERROR(IF(VLOOKUP(VLOOKUP($S62,Data!$B$3:$X$58,10,FALSE)&amp;"_"&amp;VLOOKUP($S62,Data!$B$3:$X$58,7,FALSE)&amp;"_"&amp;VLOOKUP($S62,Data!$B$3:$X$58,9,FALSE)&amp;"_1",'Electrial data'!$C$17:S$48,8,FALSE)="","",VLOOKUP(VLOOKUP($S62,Data!$B$3:$X$58,10,FALSE)&amp;"_"&amp;VLOOKUP($S62,Data!$B$3:$X$58,7,FALSE)&amp;"_"&amp;VLOOKUP($S62,Data!$B$3:$X$58,9,FALSE)&amp;"_1",'Electrial data'!$C$17:$P$48,8,FALSE)),"")</f>
        <v>5.8</v>
      </c>
      <c r="Z62" s="208">
        <f>IFERROR(IF(VLOOKUP(VLOOKUP($S62,Data!$B$3:$X$58,10,FALSE)&amp;"_"&amp;VLOOKUP($S62,Data!$B$3:$X$58,7,FALSE)&amp;"_"&amp;VLOOKUP($S62,Data!$B$3:$X$58,9,FALSE)&amp;"_1",'Electrial data'!$C$17:T$48,9,FALSE)="","",VLOOKUP(VLOOKUP($S62,Data!$B$3:$X$58,10,FALSE)&amp;"_"&amp;VLOOKUP($S62,Data!$B$3:$X$58,7,FALSE)&amp;"_"&amp;VLOOKUP($S62,Data!$B$3:$X$58,9,FALSE)&amp;"_1",'Electrial data'!$C$17:$P$48,9,FALSE)),"")</f>
        <v>6</v>
      </c>
      <c r="AA62" s="208">
        <f>IFERROR(IF(VLOOKUP(VLOOKUP($S62,Data!$B$3:$X$58,10,FALSE)&amp;"_"&amp;VLOOKUP($S62,Data!$B$3:$X$58,7,FALSE)&amp;"_"&amp;VLOOKUP($S62,Data!$B$3:$X$58,9,FALSE)&amp;"_1",'Electrial data'!$C$17:U$48,10,FALSE)="","",VLOOKUP(VLOOKUP($S62,Data!$B$3:$X$58,10,FALSE)&amp;"_"&amp;VLOOKUP($S62,Data!$B$3:$X$58,7,FALSE)&amp;"_"&amp;VLOOKUP($S62,Data!$B$3:$X$58,9,FALSE)&amp;"_1",'Electrial data'!$C$17:$P$48,10,FALSE)),"")</f>
        <v>5.8</v>
      </c>
      <c r="AB62" s="208">
        <f>IFERROR(IF(VLOOKUP(VLOOKUP($S62,Data!$B$3:$X$58,10,FALSE)&amp;"_"&amp;VLOOKUP($S62,Data!$B$3:$X$58,7,FALSE)&amp;"_"&amp;VLOOKUP($S62,Data!$B$3:$X$58,9,FALSE)&amp;"_1",'Electrial data'!$C$17:V$48,11,FALSE)="","",VLOOKUP(VLOOKUP($S62,Data!$B$3:$X$58,10,FALSE)&amp;"_"&amp;VLOOKUP($S62,Data!$B$3:$X$58,7,FALSE)&amp;"_"&amp;VLOOKUP($S62,Data!$B$3:$X$58,9,FALSE)&amp;"_1",'Electrial data'!$C$17:$P$48,11,FALSE)),"")</f>
        <v>7.5</v>
      </c>
      <c r="AC62" s="208">
        <f>IFERROR(IF(VLOOKUP(VLOOKUP($S62,Data!$B$3:$X$58,10,FALSE)&amp;"_"&amp;VLOOKUP($S62,Data!$B$3:$X$58,7,FALSE)&amp;"_"&amp;VLOOKUP($S62,Data!$B$3:$X$58,9,FALSE)&amp;"_1",'Electrial data'!$C$17:W$48,12,FALSE)="","",VLOOKUP(VLOOKUP($S62,Data!$B$3:$X$58,10,FALSE)&amp;"_"&amp;VLOOKUP($S62,Data!$B$3:$X$58,7,FALSE)&amp;"_"&amp;VLOOKUP($S62,Data!$B$3:$X$58,9,FALSE)&amp;"_1",'Electrial data'!$C$17:$P$48,12,FALSE)),"")</f>
        <v>7.3</v>
      </c>
      <c r="AD62" s="208">
        <f>IFERROR(IF(VLOOKUP(VLOOKUP($S62,Data!$B$3:$X$58,10,FALSE)&amp;"_"&amp;VLOOKUP($S62,Data!$B$3:$X$58,7,FALSE)&amp;"_"&amp;VLOOKUP($S62,Data!$B$3:$X$58,9,FALSE)&amp;"_1",'Electrial data'!$C$17:X$48,13,FALSE)="","",VLOOKUP(VLOOKUP($S62,Data!$B$3:$X$58,10,FALSE)&amp;"_"&amp;VLOOKUP($S62,Data!$B$3:$X$58,7,FALSE)&amp;"_"&amp;VLOOKUP($S62,Data!$B$3:$X$58,9,FALSE)&amp;"_1",'Electrial data'!$C$17:$P$48,13,FALSE)),"")</f>
        <v>15</v>
      </c>
      <c r="AE62" s="208">
        <f>IFERROR(IF(VLOOKUP(VLOOKUP($S62,Data!$B$3:$X$58,10,FALSE)&amp;"_"&amp;VLOOKUP($S62,Data!$B$3:$X$58,7,FALSE)&amp;"_"&amp;VLOOKUP($S62,Data!$B$3:$X$58,9,FALSE)&amp;"_1",'Electrial data'!$C$17:Y$48,14,FALSE)="","",VLOOKUP(VLOOKUP($S62,Data!$B$3:$X$58,10,FALSE)&amp;"_"&amp;VLOOKUP($S62,Data!$B$3:$X$58,7,FALSE)&amp;"_"&amp;VLOOKUP($S62,Data!$B$3:$X$58,9,FALSE)&amp;"_1",'Electrial data'!$C$17:$P$48,14,FALSE)),"")</f>
        <v>15</v>
      </c>
      <c r="AF62" s="206"/>
      <c r="AG62" s="195"/>
    </row>
    <row r="63" spans="1:33" ht="18.75" customHeight="1">
      <c r="A63" s="34"/>
      <c r="B63" s="117"/>
      <c r="C63" s="212"/>
      <c r="D63" s="212"/>
      <c r="E63" s="208">
        <f>IFERROR(IF(VLOOKUP(VLOOKUP($C$62,Data!$B$3:$X$58,7,FALSE)&amp;"_"&amp;VLOOKUP($C$62,Data!$B$3:$X$58,3,FALSE)&amp;"_3",Airflow!$B$6:$N$25,3,FALSE)="","",VLOOKUP(VLOOKUP($C$62,Data!$B$3:$X$58,7,FALSE)&amp;"_"&amp;VLOOKUP($C$62,Data!$B$3:$X$58,3,FALSE)&amp;"_2",Airflow!$B$6:$N$25,3,FALSE)),"")</f>
        <v>2</v>
      </c>
      <c r="F63" s="208">
        <f>IFERROR(IF(VLOOKUP(VLOOKUP($C$62,Data!$B$3:$X$58,7,FALSE)&amp;"_"&amp;VLOOKUP($C$62,Data!$B$3:$X$58,3,FALSE)&amp;"_3",Airflow!$B$6:$N$25,4,FALSE)="","",VLOOKUP(VLOOKUP($C$62,Data!$B$3:$X$58,7,FALSE)&amp;"_"&amp;VLOOKUP($C$62,Data!$B$3:$X$58,3,FALSE)&amp;"_2",Airflow!$B$6:$N$25,4,FALSE)),"")</f>
        <v>1053</v>
      </c>
      <c r="G63" s="208">
        <f>IFERROR(IF(VLOOKUP(VLOOKUP($C$62,Data!$B$3:$X$58,7,FALSE)&amp;"_"&amp;VLOOKUP($C$62,Data!$B$3:$X$58,3,FALSE)&amp;"_3",Airflow!$B$6:$N$25,5,FALSE)="","",VLOOKUP(VLOOKUP($C$62,Data!$B$3:$X$58,7,FALSE)&amp;"_"&amp;VLOOKUP($C$62,Data!$B$3:$X$58,3,FALSE)&amp;"_2",Airflow!$B$6:$N$25,5,FALSE)),"")</f>
        <v>1015</v>
      </c>
      <c r="H63" s="208">
        <f>IFERROR(IF(VLOOKUP(VLOOKUP($C$62,Data!$B$3:$X$58,7,FALSE)&amp;"_"&amp;VLOOKUP($C$62,Data!$B$3:$X$58,3,FALSE)&amp;"_3",Airflow!$B$6:$N$25,6,FALSE)="","",VLOOKUP(VLOOKUP($C$62,Data!$B$3:$X$58,7,FALSE)&amp;"_"&amp;VLOOKUP($C$62,Data!$B$3:$X$58,3,FALSE)&amp;"_2",Airflow!$B$6:$N$25,6,FALSE)),"")</f>
        <v>962</v>
      </c>
      <c r="I63" s="208">
        <f>IFERROR(IF(VLOOKUP(VLOOKUP($C$62,Data!$B$3:$X$58,7,FALSE)&amp;"_"&amp;VLOOKUP($C$62,Data!$B$3:$X$58,3,FALSE)&amp;"_3",Airflow!$B$6:$N$25,7,FALSE)="","",VLOOKUP(VLOOKUP($C$62,Data!$B$3:$X$58,7,FALSE)&amp;"_"&amp;VLOOKUP($C$62,Data!$B$3:$X$58,3,FALSE)&amp;"_2",Airflow!$B$6:$N$25,7,FALSE)),"")</f>
        <v>904</v>
      </c>
      <c r="J63" s="208">
        <f>IFERROR(IF(VLOOKUP(VLOOKUP($C$62,Data!$B$3:$X$58,7,FALSE)&amp;"_"&amp;VLOOKUP($C$62,Data!$B$3:$X$58,3,FALSE)&amp;"_3",Airflow!$B$6:$N$25,8,FALSE)="","",VLOOKUP(VLOOKUP($C$62,Data!$B$3:$X$58,7,FALSE)&amp;"_"&amp;VLOOKUP($C$62,Data!$B$3:$X$58,3,FALSE)&amp;"_2",Airflow!$B$6:$N$25,8,FALSE)),"")</f>
        <v>848</v>
      </c>
      <c r="K63" s="208">
        <f>IFERROR(IF(VLOOKUP(VLOOKUP($C$62,Data!$B$3:$X$58,7,FALSE)&amp;"_"&amp;VLOOKUP($C$62,Data!$B$3:$X$58,3,FALSE)&amp;"_3",Airflow!$B$6:$N$25,9,FALSE)="","",VLOOKUP(VLOOKUP($C$62,Data!$B$3:$X$58,7,FALSE)&amp;"_"&amp;VLOOKUP($C$62,Data!$B$3:$X$58,3,FALSE)&amp;"_2",Airflow!$B$6:$N$25,9,FALSE)),"")</f>
        <v>790</v>
      </c>
      <c r="L63" s="208">
        <f>IFERROR(IF(VLOOKUP(VLOOKUP($C$62,Data!$B$3:$X$58,7,FALSE)&amp;"_"&amp;VLOOKUP($C$62,Data!$B$3:$X$58,3,FALSE)&amp;"_3",Airflow!$B$6:$N$25,10,FALSE)="","",VLOOKUP(VLOOKUP($C$62,Data!$B$3:$X$58,7,FALSE)&amp;"_"&amp;VLOOKUP($C$62,Data!$B$3:$X$58,3,FALSE)&amp;"_2",Airflow!$B$6:$N$25,10,FALSE)),"")</f>
        <v>738</v>
      </c>
      <c r="M63" s="208">
        <f>IFERROR(IF(VLOOKUP(VLOOKUP($C$62,Data!$B$3:$X$58,7,FALSE)&amp;"_"&amp;VLOOKUP($C$62,Data!$B$3:$X$58,3,FALSE)&amp;"_3",Airflow!$B$6:$N$25,11,FALSE)="","",VLOOKUP(VLOOKUP($C$62,Data!$B$3:$X$58,7,FALSE)&amp;"_"&amp;VLOOKUP($C$62,Data!$B$3:$X$58,3,FALSE)&amp;"_2",Airflow!$B$6:$N$25,11,FALSE)),"")</f>
        <v>693</v>
      </c>
      <c r="N63" s="208">
        <f>IFERROR(IF(VLOOKUP(VLOOKUP($C$62,Data!$B$3:$X$58,7,FALSE)&amp;"_"&amp;VLOOKUP($C$62,Data!$B$3:$X$58,3,FALSE)&amp;"_3",Airflow!$B$6:$N$25,12,FALSE)="","",VLOOKUP(VLOOKUP($C$62,Data!$B$3:$X$58,7,FALSE)&amp;"_"&amp;VLOOKUP($C$62,Data!$B$3:$X$58,3,FALSE)&amp;"_2",Airflow!$B$6:$N$25,12,FALSE)),"")</f>
        <v>643</v>
      </c>
      <c r="O63" s="208">
        <f>IFERROR(IF(VLOOKUP(VLOOKUP($C$62,Data!$B$3:$X$58,7,FALSE)&amp;"_"&amp;VLOOKUP($C$62,Data!$B$3:$X$58,3,FALSE)&amp;"_3",Airflow!$B$6:$N$25,13,FALSE)="","",VLOOKUP(VLOOKUP($C$62,Data!$B$3:$X$58,7,FALSE)&amp;"_"&amp;VLOOKUP($C$62,Data!$B$3:$X$58,3,FALSE)&amp;"_2",Airflow!$B$6:$N$25,13,FALSE)),"")</f>
        <v>639</v>
      </c>
      <c r="P63" s="206"/>
      <c r="Q63" s="195"/>
      <c r="R63" s="207"/>
      <c r="S63" s="213"/>
      <c r="T63" s="208" t="str">
        <f>IFERROR(IF(VLOOKUP(VLOOKUP($S62,Data!$B$3:$X$58,10,FALSE)&amp;"_"&amp;VLOOKUP($S62,Data!$B$3:$X$58,7,FALSE)&amp;"_"&amp;VLOOKUP($S62,Data!$B$3:$X$58,9,FALSE)&amp;"_2",'Electrial data'!$C$17:P$48,3,FALSE)="","",VLOOKUP(VLOOKUP($S62,Data!$B$3:$X$58,10,FALSE)&amp;"_"&amp;VLOOKUP($S62,Data!$B$3:$X$58,7,FALSE)&amp;"_"&amp;VLOOKUP($S62,Data!$B$3:$X$58,9,FALSE)&amp;"_2",'Electrial data'!$C$17:$P$48,3,FALSE)),"")</f>
        <v/>
      </c>
      <c r="U63" s="208" t="str">
        <f>IFERROR(IF(VLOOKUP(VLOOKUP($S62,Data!$B$3:$X$58,10,FALSE)&amp;"_"&amp;VLOOKUP($S62,Data!$B$3:$X$58,7,FALSE)&amp;"_"&amp;VLOOKUP($S62,Data!$B$3:$X$58,9,FALSE)&amp;"_2",'Electrial data'!$C$17:Q$48,4,FALSE)="","",VLOOKUP(VLOOKUP($S62,Data!$B$3:$X$58,10,FALSE)&amp;"_"&amp;VLOOKUP($S62,Data!$B$3:$X$58,7,FALSE)&amp;"_"&amp;VLOOKUP($S62,Data!$B$3:$X$58,9,FALSE)&amp;"_2",'Electrial data'!$C$17:$P$48,4,FALSE)),"")</f>
        <v/>
      </c>
      <c r="V63" s="208" t="str">
        <f>IFERROR(IF(VLOOKUP(VLOOKUP($S62,Data!$B$3:$X$58,10,FALSE)&amp;"_"&amp;VLOOKUP($S62,Data!$B$3:$X$58,7,FALSE)&amp;"_"&amp;VLOOKUP($S62,Data!$B$3:$X$58,9,FALSE)&amp;"_2",'Electrial data'!$C$17:R$48,5,FALSE)="","",VLOOKUP(VLOOKUP($S62,Data!$B$3:$X$58,10,FALSE)&amp;"_"&amp;VLOOKUP($S62,Data!$B$3:$X$58,7,FALSE)&amp;"_"&amp;VLOOKUP($S62,Data!$B$3:$X$58,9,FALSE)&amp;"_2",'Electrial data'!$C$17:$P$48,5,FALSE)),"")</f>
        <v/>
      </c>
      <c r="W63" s="208" t="str">
        <f>IFERROR(IF(VLOOKUP(VLOOKUP($S62,Data!$B$3:$X$58,10,FALSE)&amp;"_"&amp;VLOOKUP($S62,Data!$B$3:$X$58,7,FALSE)&amp;"_"&amp;VLOOKUP($S62,Data!$B$3:$X$58,9,FALSE)&amp;"_2",'Electrial data'!$C$17:S$48,6,FALSE)="","",VLOOKUP(VLOOKUP($S62,Data!$B$3:$X$58,10,FALSE)&amp;"_"&amp;VLOOKUP($S62,Data!$B$3:$X$58,7,FALSE)&amp;"_"&amp;VLOOKUP($S62,Data!$B$3:$X$58,9,FALSE)&amp;"_2",'Electrial data'!$C$17:$P$48,6,FALSE)),"")</f>
        <v/>
      </c>
      <c r="X63" s="208" t="str">
        <f>IFERROR(IF(VLOOKUP(VLOOKUP($S62,Data!$B$3:$X$58,10,FALSE)&amp;"_"&amp;VLOOKUP($S62,Data!$B$3:$X$58,7,FALSE)&amp;"_"&amp;VLOOKUP($S62,Data!$B$3:$X$58,9,FALSE)&amp;"_2",'Electrial data'!$C$17:R$48,7,FALSE)="","",VLOOKUP(VLOOKUP($S62,Data!$B$3:$X$58,10,FALSE)&amp;"_"&amp;VLOOKUP($S62,Data!$B$3:$X$58,7,FALSE)&amp;"_"&amp;VLOOKUP($S62,Data!$B$3:$X$58,9,FALSE)&amp;"_2",'Electrial data'!$C$17:$P$48,7,FALSE)),"")</f>
        <v/>
      </c>
      <c r="Y63" s="208" t="str">
        <f>IFERROR(IF(VLOOKUP(VLOOKUP($S62,Data!$B$3:$X$58,10,FALSE)&amp;"_"&amp;VLOOKUP($S62,Data!$B$3:$X$58,7,FALSE)&amp;"_"&amp;VLOOKUP($S62,Data!$B$3:$X$58,9,FALSE)&amp;"_2",'Electrial data'!$C$17:S$48,8,FALSE)="","",VLOOKUP(VLOOKUP($S62,Data!$B$3:$X$58,10,FALSE)&amp;"_"&amp;VLOOKUP($S62,Data!$B$3:$X$58,7,FALSE)&amp;"_"&amp;VLOOKUP($S62,Data!$B$3:$X$58,9,FALSE)&amp;"_2",'Electrial data'!$C$17:$P$48,8,FALSE)),"")</f>
        <v/>
      </c>
      <c r="Z63" s="208" t="str">
        <f>IFERROR(IF(VLOOKUP(VLOOKUP($S62,Data!$B$3:$X$58,10,FALSE)&amp;"_"&amp;VLOOKUP($S62,Data!$B$3:$X$58,7,FALSE)&amp;"_"&amp;VLOOKUP($S62,Data!$B$3:$X$58,9,FALSE)&amp;"_2",'Electrial data'!$C$17:T$48,9,FALSE)="","",VLOOKUP(VLOOKUP($S62,Data!$B$3:$X$58,10,FALSE)&amp;"_"&amp;VLOOKUP($S62,Data!$B$3:$X$58,7,FALSE)&amp;"_"&amp;VLOOKUP($S62,Data!$B$3:$X$58,9,FALSE)&amp;"_2",'Electrial data'!$C$17:$P$48,9,FALSE)),"")</f>
        <v/>
      </c>
      <c r="AA63" s="208" t="str">
        <f>IFERROR(IF(VLOOKUP(VLOOKUP($S62,Data!$B$3:$X$58,10,FALSE)&amp;"_"&amp;VLOOKUP($S62,Data!$B$3:$X$58,7,FALSE)&amp;"_"&amp;VLOOKUP($S62,Data!$B$3:$X$58,9,FALSE)&amp;"_2",'Electrial data'!$C$17:U$48,10,FALSE)="","",VLOOKUP(VLOOKUP($S62,Data!$B$3:$X$58,10,FALSE)&amp;"_"&amp;VLOOKUP($S62,Data!$B$3:$X$58,7,FALSE)&amp;"_"&amp;VLOOKUP($S62,Data!$B$3:$X$58,9,FALSE)&amp;"_2",'Electrial data'!$C$17:$P$48,10,FALSE)),"")</f>
        <v/>
      </c>
      <c r="AB63" s="208" t="str">
        <f>IFERROR(IF(VLOOKUP(VLOOKUP($S62,Data!$B$3:$X$58,10,FALSE)&amp;"_"&amp;VLOOKUP($S62,Data!$B$3:$X$58,7,FALSE)&amp;"_"&amp;VLOOKUP($S62,Data!$B$3:$X$58,9,FALSE)&amp;"_2",'Electrial data'!$C$17:V$48,11,FALSE)="","",VLOOKUP(VLOOKUP($S62,Data!$B$3:$X$58,10,FALSE)&amp;"_"&amp;VLOOKUP($S62,Data!$B$3:$X$58,7,FALSE)&amp;"_"&amp;VLOOKUP($S62,Data!$B$3:$X$58,9,FALSE)&amp;"_2",'Electrial data'!$C$17:$P$48,11,FALSE)),"")</f>
        <v/>
      </c>
      <c r="AC63" s="208" t="str">
        <f>IFERROR(IF(VLOOKUP(VLOOKUP($S62,Data!$B$3:$X$58,10,FALSE)&amp;"_"&amp;VLOOKUP($S62,Data!$B$3:$X$58,7,FALSE)&amp;"_"&amp;VLOOKUP($S62,Data!$B$3:$X$58,9,FALSE)&amp;"_2",'Electrial data'!$C$17:W$48,12,FALSE)="","",VLOOKUP(VLOOKUP($S62,Data!$B$3:$X$58,10,FALSE)&amp;"_"&amp;VLOOKUP($S62,Data!$B$3:$X$58,7,FALSE)&amp;"_"&amp;VLOOKUP($S62,Data!$B$3:$X$58,9,FALSE)&amp;"_2",'Electrial data'!$C$17:$P$48,12,FALSE)),"")</f>
        <v/>
      </c>
      <c r="AD63" s="208" t="str">
        <f>IFERROR(IF(VLOOKUP(VLOOKUP($S62,Data!$B$3:$X$58,10,FALSE)&amp;"_"&amp;VLOOKUP($S62,Data!$B$3:$X$58,7,FALSE)&amp;"_"&amp;VLOOKUP($S62,Data!$B$3:$X$58,9,FALSE)&amp;"_2",'Electrial data'!$C$17:X$48,13,FALSE)="","",VLOOKUP(VLOOKUP($S62,Data!$B$3:$X$58,10,FALSE)&amp;"_"&amp;VLOOKUP($S62,Data!$B$3:$X$58,7,FALSE)&amp;"_"&amp;VLOOKUP($S62,Data!$B$3:$X$58,9,FALSE)&amp;"_2",'Electrial data'!$C$17:$P$48,13,FALSE)),"")</f>
        <v/>
      </c>
      <c r="AE63" s="208" t="str">
        <f>IFERROR(IF(VLOOKUP(VLOOKUP($S62,Data!$B$3:$X$58,10,FALSE)&amp;"_"&amp;VLOOKUP($S62,Data!$B$3:$X$58,7,FALSE)&amp;"_"&amp;VLOOKUP($S62,Data!$B$3:$X$58,9,FALSE)&amp;"_2",'Electrial data'!$C$17:Y$48,14,FALSE)="","",VLOOKUP(VLOOKUP($S62,Data!$B$3:$X$58,10,FALSE)&amp;"_"&amp;VLOOKUP($S62,Data!$B$3:$X$58,7,FALSE)&amp;"_"&amp;VLOOKUP($S62,Data!$B$3:$X$58,9,FALSE)&amp;"_2",'Electrial data'!$C$17:$P$48,14,FALSE)),"")</f>
        <v/>
      </c>
      <c r="AF63" s="206"/>
      <c r="AG63" s="195"/>
    </row>
    <row r="64" spans="1:33" ht="18.75" customHeight="1">
      <c r="A64" s="94"/>
      <c r="B64" s="118"/>
      <c r="C64" s="212"/>
      <c r="D64" s="212"/>
      <c r="E64" s="208">
        <f>IFERROR(IF(VLOOKUP(VLOOKUP($C$62,Data!$B$3:$X$58,7,FALSE)&amp;"_"&amp;VLOOKUP($C$62,Data!$B$3:$X$58,3,FALSE)&amp;"_3",Airflow!$B$6:$N$25,3,FALSE)="","",VLOOKUP(VLOOKUP($C$62,Data!$B$3:$X$58,7,FALSE)&amp;"_"&amp;VLOOKUP($C$62,Data!$B$3:$X$58,3,FALSE)&amp;"_3",Airflow!$B$6:$N$25,3,FALSE)),"")</f>
        <v>3</v>
      </c>
      <c r="F64" s="208">
        <f>IFERROR(IF(VLOOKUP(VLOOKUP($C$62,Data!$B$3:$X$58,7,FALSE)&amp;"_"&amp;VLOOKUP($C$62,Data!$B$3:$X$58,3,FALSE)&amp;"_3",Airflow!$B$6:$N$25,4,FALSE)="","",VLOOKUP(VLOOKUP($C$62,Data!$B$3:$X$58,7,FALSE)&amp;"_"&amp;VLOOKUP($C$62,Data!$B$3:$X$58,3,FALSE)&amp;"_3",Airflow!$B$6:$N$25,4,FALSE)),"")</f>
        <v>1202</v>
      </c>
      <c r="G64" s="208">
        <f>IFERROR(IF(VLOOKUP(VLOOKUP($C$62,Data!$B$3:$X$58,7,FALSE)&amp;"_"&amp;VLOOKUP($C$62,Data!$B$3:$X$58,3,FALSE)&amp;"_3",Airflow!$B$6:$N$25,5,FALSE)="","",VLOOKUP(VLOOKUP($C$62,Data!$B$3:$X$58,7,FALSE)&amp;"_"&amp;VLOOKUP($C$62,Data!$B$3:$X$58,3,FALSE)&amp;"_3",Airflow!$B$6:$N$25,5,FALSE)),"")</f>
        <v>1160</v>
      </c>
      <c r="H64" s="208">
        <f>IFERROR(IF(VLOOKUP(VLOOKUP($C$62,Data!$B$3:$X$58,7,FALSE)&amp;"_"&amp;VLOOKUP($C$62,Data!$B$3:$X$58,3,FALSE)&amp;"_3",Airflow!$B$6:$N$25,6,FALSE)="","",VLOOKUP(VLOOKUP($C$62,Data!$B$3:$X$58,7,FALSE)&amp;"_"&amp;VLOOKUP($C$62,Data!$B$3:$X$58,3,FALSE)&amp;"_3",Airflow!$B$6:$N$25,6,FALSE)),"")</f>
        <v>1116</v>
      </c>
      <c r="I64" s="208">
        <f>IFERROR(IF(VLOOKUP(VLOOKUP($C$62,Data!$B$3:$X$58,7,FALSE)&amp;"_"&amp;VLOOKUP($C$62,Data!$B$3:$X$58,3,FALSE)&amp;"_3",Airflow!$B$6:$N$25,7,FALSE)="","",VLOOKUP(VLOOKUP($C$62,Data!$B$3:$X$58,7,FALSE)&amp;"_"&amp;VLOOKUP($C$62,Data!$B$3:$X$58,3,FALSE)&amp;"_3",Airflow!$B$6:$N$25,7,FALSE)),"")</f>
        <v>1068</v>
      </c>
      <c r="J64" s="208">
        <f>IFERROR(IF(VLOOKUP(VLOOKUP($C$62,Data!$B$3:$X$58,7,FALSE)&amp;"_"&amp;VLOOKUP($C$62,Data!$B$3:$X$58,3,FALSE)&amp;"_3",Airflow!$B$6:$N$25,8,FALSE)="","",VLOOKUP(VLOOKUP($C$62,Data!$B$3:$X$58,7,FALSE)&amp;"_"&amp;VLOOKUP($C$62,Data!$B$3:$X$58,3,FALSE)&amp;"_3",Airflow!$B$6:$N$25,8,FALSE)),"")</f>
        <v>1013</v>
      </c>
      <c r="K64" s="208">
        <f>IFERROR(IF(VLOOKUP(VLOOKUP($C$62,Data!$B$3:$X$58,7,FALSE)&amp;"_"&amp;VLOOKUP($C$62,Data!$B$3:$X$58,3,FALSE)&amp;"_3",Airflow!$B$6:$N$25,9,FALSE)="","",VLOOKUP(VLOOKUP($C$62,Data!$B$3:$X$58,7,FALSE)&amp;"_"&amp;VLOOKUP($C$62,Data!$B$3:$X$58,3,FALSE)&amp;"_3",Airflow!$B$6:$N$25,9,FALSE)),"")</f>
        <v>965</v>
      </c>
      <c r="L64" s="208">
        <f>IFERROR(IF(VLOOKUP(VLOOKUP($C$62,Data!$B$3:$X$58,7,FALSE)&amp;"_"&amp;VLOOKUP($C$62,Data!$B$3:$X$58,3,FALSE)&amp;"_3",Airflow!$B$6:$N$25,10,FALSE)="","",VLOOKUP(VLOOKUP($C$62,Data!$B$3:$X$58,7,FALSE)&amp;"_"&amp;VLOOKUP($C$62,Data!$B$3:$X$58,3,FALSE)&amp;"_3",Airflow!$B$6:$N$25,10,FALSE)),"")</f>
        <v>911</v>
      </c>
      <c r="M64" s="208">
        <f>IFERROR(IF(VLOOKUP(VLOOKUP($C$62,Data!$B$3:$X$58,7,FALSE)&amp;"_"&amp;VLOOKUP($C$62,Data!$B$3:$X$58,3,FALSE)&amp;"_3",Airflow!$B$6:$N$25,11,FALSE)="","",VLOOKUP(VLOOKUP($C$62,Data!$B$3:$X$58,7,FALSE)&amp;"_"&amp;VLOOKUP($C$62,Data!$B$3:$X$58,3,FALSE)&amp;"_3",Airflow!$B$6:$N$25,11,FALSE)),"")</f>
        <v>861</v>
      </c>
      <c r="N64" s="208">
        <f>IFERROR(IF(VLOOKUP(VLOOKUP($C$62,Data!$B$3:$X$58,7,FALSE)&amp;"_"&amp;VLOOKUP($C$62,Data!$B$3:$X$58,3,FALSE)&amp;"_3",Airflow!$B$6:$N$25,12,FALSE)="","",VLOOKUP(VLOOKUP($C$62,Data!$B$3:$X$58,7,FALSE)&amp;"_"&amp;VLOOKUP($C$62,Data!$B$3:$X$58,3,FALSE)&amp;"_3",Airflow!$B$6:$N$25,12,FALSE)),"")</f>
        <v>818</v>
      </c>
      <c r="O64" s="208">
        <f>IFERROR(IF(VLOOKUP(VLOOKUP($C$62,Data!$B$3:$X$58,7,FALSE)&amp;"_"&amp;VLOOKUP($C$62,Data!$B$3:$X$58,3,FALSE)&amp;"_3",Airflow!$B$6:$N$25,13,FALSE)="","",VLOOKUP(VLOOKUP($C$62,Data!$B$3:$X$58,7,FALSE)&amp;"_"&amp;VLOOKUP($C$62,Data!$B$3:$X$58,3,FALSE)&amp;"_3",Airflow!$B$6:$N$25,13,FALSE)),"")</f>
        <v>810</v>
      </c>
      <c r="P64" s="206"/>
      <c r="Q64" s="195"/>
      <c r="R64" s="207"/>
      <c r="S64" s="219"/>
      <c r="T64" s="215"/>
      <c r="U64" s="220"/>
      <c r="V64" s="221"/>
      <c r="W64" s="222"/>
      <c r="X64" s="223"/>
      <c r="Y64" s="223"/>
      <c r="Z64" s="223"/>
      <c r="AA64" s="223"/>
      <c r="AB64" s="223"/>
      <c r="AC64" s="223"/>
      <c r="AD64" s="222"/>
      <c r="AE64" s="221"/>
      <c r="AF64" s="206"/>
      <c r="AG64" s="195"/>
    </row>
    <row r="65" spans="1:33" ht="18.75" customHeight="1">
      <c r="A65" s="88"/>
      <c r="B65" s="115"/>
      <c r="C65" s="212"/>
      <c r="D65" s="212"/>
      <c r="E65" s="208" t="str">
        <f>IFERROR(IF(VLOOKUP(VLOOKUP($C$62,Data!$B$3:$X$58,7,FALSE)&amp;"_"&amp;VLOOKUP($C$62,Data!$B$3:$X$58,3,FALSE)&amp;"_4",Airflow!$B$6:$N$25,3,FALSE)="","",VLOOKUP(VLOOKUP($C$62,Data!$B$3:$X$58,7,FALSE)&amp;"_"&amp;VLOOKUP($C$62,Data!$B$3:$X$58,3,FALSE)&amp;"_4",Airflow!$B$6:$N$25,3,FALSE)),"")</f>
        <v>4#,^</v>
      </c>
      <c r="F65" s="208">
        <f>IFERROR(IF(VLOOKUP(VLOOKUP($C$62,Data!$B$3:$X$58,7,FALSE)&amp;"_"&amp;VLOOKUP($C$62,Data!$B$3:$X$58,3,FALSE)&amp;"_4",Airflow!$B$6:$N$25,4,FALSE)="","",VLOOKUP(VLOOKUP($C$62,Data!$B$3:$X$58,7,FALSE)&amp;"_"&amp;VLOOKUP($C$62,Data!$B$3:$X$58,3,FALSE)&amp;"_4",Airflow!$B$6:$N$25,4,FALSE)),"")</f>
        <v>1343</v>
      </c>
      <c r="G65" s="208">
        <f>IFERROR(IF(VLOOKUP(VLOOKUP($C$62,Data!$B$3:$X$58,7,FALSE)&amp;"_"&amp;VLOOKUP($C$62,Data!$B$3:$X$58,3,FALSE)&amp;"_4",Airflow!$B$6:$N$25,5,FALSE)="","",VLOOKUP(VLOOKUP($C$62,Data!$B$3:$X$58,7,FALSE)&amp;"_"&amp;VLOOKUP($C$62,Data!$B$3:$X$58,3,FALSE)&amp;"_4",Airflow!$B$6:$N$25,5,FALSE)),"")</f>
        <v>1318</v>
      </c>
      <c r="H65" s="208">
        <f>IFERROR(IF(VLOOKUP(VLOOKUP($C$62,Data!$B$3:$X$58,7,FALSE)&amp;"_"&amp;VLOOKUP($C$62,Data!$B$3:$X$58,3,FALSE)&amp;"_4",Airflow!$B$6:$N$25,6,FALSE)="","",VLOOKUP(VLOOKUP($C$62,Data!$B$3:$X$58,7,FALSE)&amp;"_"&amp;VLOOKUP($C$62,Data!$B$3:$X$58,3,FALSE)&amp;"_4",Airflow!$B$6:$N$25,6,FALSE)),"")</f>
        <v>1281</v>
      </c>
      <c r="I65" s="208">
        <f>IFERROR(IF(VLOOKUP(VLOOKUP($C$62,Data!$B$3:$X$58,7,FALSE)&amp;"_"&amp;VLOOKUP($C$62,Data!$B$3:$X$58,3,FALSE)&amp;"_4",Airflow!$B$6:$N$25,7,FALSE)="","",VLOOKUP(VLOOKUP($C$62,Data!$B$3:$X$58,7,FALSE)&amp;"_"&amp;VLOOKUP($C$62,Data!$B$3:$X$58,3,FALSE)&amp;"_4",Airflow!$B$6:$N$25,7,FALSE)),"")</f>
        <v>1240</v>
      </c>
      <c r="J65" s="208">
        <f>IFERROR(IF(VLOOKUP(VLOOKUP($C$62,Data!$B$3:$X$58,7,FALSE)&amp;"_"&amp;VLOOKUP($C$62,Data!$B$3:$X$58,3,FALSE)&amp;"_4",Airflow!$B$6:$N$25,8,FALSE)="","",VLOOKUP(VLOOKUP($C$62,Data!$B$3:$X$58,7,FALSE)&amp;"_"&amp;VLOOKUP($C$62,Data!$B$3:$X$58,3,FALSE)&amp;"_4",Airflow!$B$6:$N$25,8,FALSE)),"")</f>
        <v>1196</v>
      </c>
      <c r="K65" s="208">
        <f>IFERROR(IF(VLOOKUP(VLOOKUP($C$62,Data!$B$3:$X$58,7,FALSE)&amp;"_"&amp;VLOOKUP($C$62,Data!$B$3:$X$58,3,FALSE)&amp;"_4",Airflow!$B$6:$N$25,9,FALSE)="","",VLOOKUP(VLOOKUP($C$62,Data!$B$3:$X$58,7,FALSE)&amp;"_"&amp;VLOOKUP($C$62,Data!$B$3:$X$58,3,FALSE)&amp;"_4",Airflow!$B$6:$N$25,9,FALSE)),"")</f>
        <v>1160</v>
      </c>
      <c r="L65" s="208">
        <f>IFERROR(IF(VLOOKUP(VLOOKUP($C$62,Data!$B$3:$X$58,7,FALSE)&amp;"_"&amp;VLOOKUP($C$62,Data!$B$3:$X$58,3,FALSE)&amp;"_4",Airflow!$B$6:$N$25,10,FALSE)="","",VLOOKUP(VLOOKUP($C$62,Data!$B$3:$X$58,7,FALSE)&amp;"_"&amp;VLOOKUP($C$62,Data!$B$3:$X$58,3,FALSE)&amp;"_4",Airflow!$B$6:$N$25,10,FALSE)),"")</f>
        <v>1106</v>
      </c>
      <c r="M65" s="208">
        <f>IFERROR(IF(VLOOKUP(VLOOKUP($C$62,Data!$B$3:$X$58,7,FALSE)&amp;"_"&amp;VLOOKUP($C$62,Data!$B$3:$X$58,3,FALSE)&amp;"_4",Airflow!$B$6:$N$25,11,FALSE)="","",VLOOKUP(VLOOKUP($C$62,Data!$B$3:$X$58,7,FALSE)&amp;"_"&amp;VLOOKUP($C$62,Data!$B$3:$X$58,3,FALSE)&amp;"_4",Airflow!$B$6:$N$25,11,FALSE)),"")</f>
        <v>1060</v>
      </c>
      <c r="N65" s="208">
        <f>IFERROR(IF(VLOOKUP(VLOOKUP($C$62,Data!$B$3:$X$58,7,FALSE)&amp;"_"&amp;VLOOKUP($C$62,Data!$B$3:$X$58,3,FALSE)&amp;"_4",Airflow!$B$6:$N$25,12,FALSE)="","",VLOOKUP(VLOOKUP($C$62,Data!$B$3:$X$58,7,FALSE)&amp;"_"&amp;VLOOKUP($C$62,Data!$B$3:$X$58,3,FALSE)&amp;"_4",Airflow!$B$6:$N$25,12,FALSE)),"")</f>
        <v>1014</v>
      </c>
      <c r="O65" s="208">
        <f>IFERROR(IF(VLOOKUP(VLOOKUP($C$62,Data!$B$3:$X$58,7,FALSE)&amp;"_"&amp;VLOOKUP($C$62,Data!$B$3:$X$58,3,FALSE)&amp;"_4",Airflow!$B$6:$N$25,13,FALSE)="","",VLOOKUP(VLOOKUP($C$62,Data!$B$3:$X$58,7,FALSE)&amp;"_"&amp;VLOOKUP($C$62,Data!$B$3:$X$58,3,FALSE)&amp;"_4",Airflow!$B$6:$N$25,13,FALSE)),"")</f>
        <v>1008</v>
      </c>
      <c r="P65" s="206"/>
      <c r="Q65" s="195"/>
      <c r="R65" s="207"/>
      <c r="S65" s="241" t="str">
        <f>IF(Front!G39= "120 V, 60 Hz, 1 ph.","","Unit Size")</f>
        <v>Unit Size</v>
      </c>
      <c r="T65" s="241" t="str">
        <f>IF(Front!G39= "120 V, 60 Hz, 1 ph.","","Circuit")</f>
        <v>Circuit</v>
      </c>
      <c r="U65" s="242" t="str">
        <f>IF(Front!G39= "120 V, 60 Hz, 1 ph.","","Total Heat Capacity")</f>
        <v>Total Heat Capacity</v>
      </c>
      <c r="V65" s="241" t="str">
        <f>IF(Front!G39= "120 V, 60 Hz, 1 ph.","","Electric Heating capacity")</f>
        <v>Electric Heating capacity</v>
      </c>
      <c r="W65" s="241"/>
      <c r="X65" s="242" t="str">
        <f>IF(Front!E39= "120 V, 60 Hz, 1 ph.","","Blower Amps (A)")</f>
        <v>Blower Amps (A)</v>
      </c>
      <c r="Y65" s="242"/>
      <c r="Z65" s="242" t="str">
        <f>IF(Front!G39= "120 V, 60 Hz, 1 ph.","","BTotal Current (A)")</f>
        <v>BTotal Current (A)</v>
      </c>
      <c r="AA65" s="242"/>
      <c r="AB65" s="242" t="str">
        <f>IF(Front!G39= "120 V, 60 Hz, 1 ph.","","Minimum Circuit Ampacity (A)")</f>
        <v>Minimum Circuit Ampacity (A)</v>
      </c>
      <c r="AC65" s="242"/>
      <c r="AD65" s="242" t="str">
        <f>IF(Front!G39= "120 V, 60 Hz, 1 ph.","","Maximum Circuit Breaker size[2] (A)")</f>
        <v>Maximum Circuit Breaker size[2] (A)</v>
      </c>
      <c r="AE65" s="242"/>
      <c r="AF65" s="206"/>
      <c r="AG65" s="195"/>
    </row>
    <row r="66" spans="1:33" ht="18.75" customHeight="1">
      <c r="A66" s="88"/>
      <c r="B66" s="115"/>
      <c r="C66" s="212"/>
      <c r="D66" s="212"/>
      <c r="E66" s="208" t="str">
        <f>IFERROR(IF(VLOOKUP(VLOOKUP($C$62,Data!$B$3:$X$58,7,FALSE)&amp;"_"&amp;VLOOKUP($C$62,Data!$B$3:$X$58,3,FALSE)&amp;"_5",Airflow!$B$6:$N$25,3,FALSE)="","",VLOOKUP(VLOOKUP($C$62,Data!$B$3:$X$58,7,FALSE)&amp;"_"&amp;VLOOKUP($C$62,Data!$B$3:$X$58,3,FALSE)&amp;"_5",Airflow!$B$6:$N$25,3,FALSE)),"")</f>
        <v>5*</v>
      </c>
      <c r="F66" s="208">
        <f>IFERROR(IF(VLOOKUP(VLOOKUP($C$62,Data!$B$3:$X$58,7,FALSE)&amp;"_"&amp;VLOOKUP($C$62,Data!$B$3:$X$58,3,FALSE)&amp;"_5",Airflow!$B$6:$N$25,4,FALSE)="","",VLOOKUP(VLOOKUP($C$62,Data!$B$3:$X$58,7,FALSE)&amp;"_"&amp;VLOOKUP($C$62,Data!$B$3:$X$58,3,FALSE)&amp;"_5",Airflow!$B$6:$N$25,4,FALSE)),"")</f>
        <v>1826</v>
      </c>
      <c r="G66" s="208">
        <f>IFERROR(IF(VLOOKUP(VLOOKUP($C$62,Data!$B$3:$X$58,7,FALSE)&amp;"_"&amp;VLOOKUP($C$62,Data!$B$3:$X$58,3,FALSE)&amp;"_5",Airflow!$B$6:$N$25,5,FALSE)="","",VLOOKUP(VLOOKUP($C$62,Data!$B$3:$X$58,7,FALSE)&amp;"_"&amp;VLOOKUP($C$62,Data!$B$3:$X$58,3,FALSE)&amp;"_5",Airflow!$B$6:$N$25,5,FALSE)),"")</f>
        <v>1799</v>
      </c>
      <c r="H66" s="208">
        <f>IFERROR(IF(VLOOKUP(VLOOKUP($C$62,Data!$B$3:$X$58,7,FALSE)&amp;"_"&amp;VLOOKUP($C$62,Data!$B$3:$X$58,3,FALSE)&amp;"_5",Airflow!$B$6:$N$25,6,FALSE)="","",VLOOKUP(VLOOKUP($C$62,Data!$B$3:$X$58,7,FALSE)&amp;"_"&amp;VLOOKUP($C$62,Data!$B$3:$X$58,3,FALSE)&amp;"_5",Airflow!$B$6:$N$25,6,FALSE)),"")</f>
        <v>1790</v>
      </c>
      <c r="I66" s="208">
        <f>IFERROR(IF(VLOOKUP(VLOOKUP($C$62,Data!$B$3:$X$58,7,FALSE)&amp;"_"&amp;VLOOKUP($C$62,Data!$B$3:$X$58,3,FALSE)&amp;"_5",Airflow!$B$6:$N$25,7,FALSE)="","",VLOOKUP(VLOOKUP($C$62,Data!$B$3:$X$58,7,FALSE)&amp;"_"&amp;VLOOKUP($C$62,Data!$B$3:$X$58,3,FALSE)&amp;"_5",Airflow!$B$6:$N$25,7,FALSE)),"")</f>
        <v>1761</v>
      </c>
      <c r="J66" s="208">
        <f>IFERROR(IF(VLOOKUP(VLOOKUP($C$62,Data!$B$3:$X$58,7,FALSE)&amp;"_"&amp;VLOOKUP($C$62,Data!$B$3:$X$58,3,FALSE)&amp;"_5",Airflow!$B$6:$N$25,8,FALSE)="","",VLOOKUP(VLOOKUP($C$62,Data!$B$3:$X$58,7,FALSE)&amp;"_"&amp;VLOOKUP($C$62,Data!$B$3:$X$58,3,FALSE)&amp;"_5",Airflow!$B$6:$N$25,8,FALSE)),"")</f>
        <v>1722</v>
      </c>
      <c r="K66" s="208">
        <f>IFERROR(IF(VLOOKUP(VLOOKUP($C$62,Data!$B$3:$X$58,7,FALSE)&amp;"_"&amp;VLOOKUP($C$62,Data!$B$3:$X$58,3,FALSE)&amp;"_5",Airflow!$B$6:$N$25,9,FALSE)="","",VLOOKUP(VLOOKUP($C$62,Data!$B$3:$X$58,7,FALSE)&amp;"_"&amp;VLOOKUP($C$62,Data!$B$3:$X$58,3,FALSE)&amp;"_5",Airflow!$B$6:$N$25,9,FALSE)),"")</f>
        <v>1677</v>
      </c>
      <c r="L66" s="208">
        <f>IFERROR(IF(VLOOKUP(VLOOKUP($C$62,Data!$B$3:$X$58,7,FALSE)&amp;"_"&amp;VLOOKUP($C$62,Data!$B$3:$X$58,3,FALSE)&amp;"_5",Airflow!$B$6:$N$25,10,FALSE)="","",VLOOKUP(VLOOKUP($C$62,Data!$B$3:$X$58,7,FALSE)&amp;"_"&amp;VLOOKUP($C$62,Data!$B$3:$X$58,3,FALSE)&amp;"_5",Airflow!$B$6:$N$25,10,FALSE)),"")</f>
        <v>1640</v>
      </c>
      <c r="M66" s="208">
        <f>IFERROR(IF(VLOOKUP(VLOOKUP($C$62,Data!$B$3:$X$58,7,FALSE)&amp;"_"&amp;VLOOKUP($C$62,Data!$B$3:$X$58,3,FALSE)&amp;"_5",Airflow!$B$6:$N$25,11,FALSE)="","",VLOOKUP(VLOOKUP($C$62,Data!$B$3:$X$58,7,FALSE)&amp;"_"&amp;VLOOKUP($C$62,Data!$B$3:$X$58,3,FALSE)&amp;"_5",Airflow!$B$6:$N$25,11,FALSE)),"")</f>
        <v>1594</v>
      </c>
      <c r="N66" s="208">
        <f>IFERROR(IF(VLOOKUP(VLOOKUP($C$62,Data!$B$3:$X$58,7,FALSE)&amp;"_"&amp;VLOOKUP($C$62,Data!$B$3:$X$58,3,FALSE)&amp;"_5",Airflow!$B$6:$N$25,12,FALSE)="","",VLOOKUP(VLOOKUP($C$62,Data!$B$3:$X$58,7,FALSE)&amp;"_"&amp;VLOOKUP($C$62,Data!$B$3:$X$58,3,FALSE)&amp;"_5",Airflow!$B$6:$N$25,12,FALSE)),"")</f>
        <v>1544</v>
      </c>
      <c r="O66" s="208">
        <f>IFERROR(IF(VLOOKUP(VLOOKUP($C$62,Data!$B$3:$X$58,7,FALSE)&amp;"_"&amp;VLOOKUP($C$62,Data!$B$3:$X$58,3,FALSE)&amp;"_5",Airflow!$B$6:$N$25,13,FALSE)="","",VLOOKUP(VLOOKUP($C$62,Data!$B$3:$X$58,7,FALSE)&amp;"_"&amp;VLOOKUP($C$62,Data!$B$3:$X$58,3,FALSE)&amp;"_5",Airflow!$B$6:$N$25,13,FALSE)),"")</f>
        <v>1494</v>
      </c>
      <c r="P66" s="206"/>
      <c r="Q66" s="195"/>
      <c r="R66" s="207"/>
      <c r="S66" s="241"/>
      <c r="T66" s="241"/>
      <c r="U66" s="242"/>
      <c r="V66" s="211" t="str">
        <f>IF(Front!G39= "120 V, 60 Hz, 1 ph.","","kW")</f>
        <v>kW</v>
      </c>
      <c r="W66" s="211" t="str">
        <f>IF(Front!G39= "120 V, 60 Hz, 1 ph.","","BTUH")</f>
        <v>BTUH</v>
      </c>
      <c r="X66" s="242"/>
      <c r="Y66" s="242"/>
      <c r="Z66" s="242"/>
      <c r="AA66" s="242"/>
      <c r="AB66" s="242"/>
      <c r="AC66" s="242"/>
      <c r="AD66" s="242"/>
      <c r="AE66" s="242"/>
      <c r="AF66" s="206"/>
      <c r="AG66" s="195"/>
    </row>
    <row r="67" spans="1:33" ht="18.75" customHeight="1">
      <c r="A67" s="88"/>
      <c r="B67" s="115"/>
      <c r="C67" s="218"/>
      <c r="D67" s="218"/>
      <c r="E67" s="218"/>
      <c r="F67" s="218"/>
      <c r="G67" s="218"/>
      <c r="H67" s="218"/>
      <c r="I67" s="218"/>
      <c r="J67" s="218"/>
      <c r="K67" s="218"/>
      <c r="L67" s="218"/>
      <c r="M67" s="218"/>
      <c r="N67" s="218"/>
      <c r="O67" s="218"/>
      <c r="P67" s="206"/>
      <c r="Q67" s="195"/>
      <c r="R67" s="207"/>
      <c r="S67" s="241"/>
      <c r="T67" s="241"/>
      <c r="U67" s="242"/>
      <c r="V67" s="211" t="str">
        <f>IF(Front!G39= "120 V, 60 Hz, 1 ph.","","240 V[1]")</f>
        <v>240 V[1]</v>
      </c>
      <c r="W67" s="211" t="str">
        <f>IF(Front!G39= "120 V, 60 Hz, 1 ph.","","240 V[1]")</f>
        <v>240 V[1]</v>
      </c>
      <c r="X67" s="211" t="str">
        <f>IF(Front!E39= "120 V, 60 Hz, 1 ph.","","208 V")</f>
        <v>208 V</v>
      </c>
      <c r="Y67" s="211" t="str">
        <f>IF(Front!E39= "120 V, 60 Hz, 1 ph.","","240 V")</f>
        <v>240 V</v>
      </c>
      <c r="Z67" s="211" t="str">
        <f>IF(Front!G39= "120 V, 60 Hz, 1 ph.","","208 V")</f>
        <v>208 V</v>
      </c>
      <c r="AA67" s="211" t="str">
        <f>IF(Front!G39= "120 V, 60 Hz, 1 ph.","","240 V")</f>
        <v>240 V</v>
      </c>
      <c r="AB67" s="211" t="str">
        <f>IF(Front!G39= "120 V, 60 Hz, 1 ph.","","208 V")</f>
        <v>208 V</v>
      </c>
      <c r="AC67" s="211" t="str">
        <f>IF(Front!G39= "120 V, 60 Hz, 1 ph.","","240 V")</f>
        <v>240 V</v>
      </c>
      <c r="AD67" s="211" t="str">
        <f>IF(Front!G39= "120 V, 60 Hz, 1 ph.","","208 V")</f>
        <v>208 V</v>
      </c>
      <c r="AE67" s="211" t="str">
        <f>IF(Front!G39= "120 V, 60 Hz, 1 ph.","","240 V")</f>
        <v>240 V</v>
      </c>
      <c r="AF67" s="206"/>
      <c r="AG67" s="195"/>
    </row>
    <row r="68" spans="1:33" ht="18.75" customHeight="1">
      <c r="A68" s="88"/>
      <c r="B68" s="115"/>
      <c r="C68" s="245" t="str">
        <f>IF(Front!G32= "","","Unit Size")</f>
        <v>Unit Size</v>
      </c>
      <c r="D68" s="245"/>
      <c r="E68" s="205" t="str">
        <f>IF(Front!G32= "","",VLOOKUP(VLOOKUP(Front!G32,Data!$B$3:$X$58,10,FALSE),Airflow!$BB$6:$BK$9,2,FALSE))</f>
        <v>Tap</v>
      </c>
      <c r="F68" s="205">
        <f>IFERROR(IF(VLOOKUP(VLOOKUP(Front!G32,Data!$B$3:$X$58,10,FALSE),Airflow!$BB$6:$BK$9,3,FALSE)= "","",VLOOKUP(VLOOKUP(Front!G32,Data!$B$3:$X$58,10,FALSE),Airflow!$BB$6:$BK$9,3,FALSE)),"")</f>
        <v>0.1</v>
      </c>
      <c r="G68" s="205">
        <f>IFERROR(IF(VLOOKUP(VLOOKUP(Front!G32,Data!$B$3:$X$58,10,FALSE),Airflow!$BB$6:$BK$9,4,FALSE)="","",VLOOKUP(VLOOKUP(Front!G32,Data!$B$3:$X$58,10,FALSE),Airflow!$BB$6:$BK$9,4,FALSE)),"")</f>
        <v>0.2</v>
      </c>
      <c r="H68" s="205">
        <f>IFERROR(IF(VLOOKUP(VLOOKUP(Front!G32,Data!$B$3:$X$58,10,FALSE),Airflow!$BB$6:$BK$9,5,FALSE)= "","",VLOOKUP(VLOOKUP(Front!G32,Data!$B$3:$X$58,10,FALSE),Airflow!$BB$6:$BK$9,5,FALSE)),"")</f>
        <v>0.3</v>
      </c>
      <c r="I68" s="205">
        <f>IFERROR(IF(VLOOKUP(VLOOKUP(Front!G32,Data!$B$3:$X$58,10,FALSE),Airflow!$BB$6:$BK$9,6,FALSE)= "","",VLOOKUP(VLOOKUP(Front!G32,Data!$B$3:$X$58,10,FALSE),Airflow!$BB$6:$BK$9,6,FALSE)),"")</f>
        <v>0.4</v>
      </c>
      <c r="J68" s="205">
        <f>IFERROR(IF(VLOOKUP(VLOOKUP(Front!G32,Data!$B$3:$X$58,10,FALSE),Airflow!$BB$6:$BK$9,7,FALSE)= "","",VLOOKUP(VLOOKUP(Front!G32,Data!$B$3:$X$58,10,FALSE),Airflow!$BB$6:$BK$9,7,FALSE)),"")</f>
        <v>0.5</v>
      </c>
      <c r="K68" s="205">
        <f>IFERROR(IF(VLOOKUP(VLOOKUP(Front!G32,Data!$B$3:$X$58,10,FALSE),Airflow!$BB$6:$BK$9,8,FALSE)= "","",VLOOKUP(VLOOKUP(Front!G32,Data!$B$3:$X$58,10,FALSE),Airflow!$BB$6:$BK$9,8,FALSE)),"")</f>
        <v>0.6</v>
      </c>
      <c r="L68" s="205">
        <f>IFERROR(IF(VLOOKUP(VLOOKUP(Front!G32,Data!$B$3:$X$58,10,FALSE),Airflow!$BB$6:$BK$9,9,FALSE)= "","",VLOOKUP(VLOOKUP(Front!G32,Data!$B$3:$X$58,10,FALSE),Airflow!$BB$6:$BK$9,9,FALSE)),"")</f>
        <v>0.7</v>
      </c>
      <c r="M68" s="205">
        <f>IFERROR(IF(VLOOKUP(VLOOKUP(Front!G32,Data!$B$3:$X$58,10,FALSE),Airflow!$BB$6:$BK$9,10,FALSE)= "","",VLOOKUP(VLOOKUP(Front!G32,Data!$B$3:$X$58,10,FALSE),Airflow!$BB$6:$BK$9,10,FALSE)),"")</f>
        <v>0.8</v>
      </c>
      <c r="N68" s="205">
        <f>IFERROR(IF(VLOOKUP(VLOOKUP(Front!G32,Data!$B$3:$X$58,10,FALSE),Airflow!$BB$6:$BN$9,11,FALSE)= "","",VLOOKUP(VLOOKUP(Front!G32,Data!$B$3:$X$58,10,FALSE),Airflow!$BB$6:$BN$9,11,FALSE)),"")</f>
        <v>0.9</v>
      </c>
      <c r="O68" s="205">
        <f>IFERROR(IF(VLOOKUP(VLOOKUP(Front!G32,Data!$B$3:$X$58,10,FALSE),Airflow!$BB$6:$BN$9,12,FALSE)= "","",VLOOKUP(VLOOKUP(Front!G32,Data!$B$3:$X$58,10,FALSE),Airflow!$BB$6:$BN$9,12,FALSE)),"")</f>
        <v>1</v>
      </c>
      <c r="P68" s="206"/>
      <c r="Q68" s="195"/>
      <c r="R68" s="207"/>
      <c r="S68" s="205" t="str">
        <f>IF(Front!G39= "120 V, 60 Hz, 1 ph.","",Front!G32)</f>
        <v>AMHE5D00B2N1</v>
      </c>
      <c r="T68" s="208" t="str">
        <f>IFERROR(IF(VLOOKUP(VLOOKUP($S68,Data!$B$3:$X$58,10,FALSE)&amp;"_"&amp;VLOOKUP($S68,Data!$B$3:$X$58,7,FALSE)&amp;"_"&amp;VLOOKUP($S68,Data!$B$3:$X$58,9,FALSE)&amp;"_1",'Electrial data'!$C$17:P$48,3,FALSE)="","",VLOOKUP(VLOOKUP($S68,Data!$B$3:$X$58,10,FALSE)&amp;"_"&amp;VLOOKUP($S68,Data!$B$3:$X$58,7,FALSE)&amp;"_"&amp;VLOOKUP($S68,Data!$B$3:$X$58,9,FALSE)&amp;"_1",'Electrial data'!$C$17:$P$48,3,FALSE)),"")</f>
        <v>CKT 1</v>
      </c>
      <c r="U68" s="208">
        <f>IFERROR(IF(VLOOKUP(VLOOKUP($S68,Data!$B$3:$X$58,10,FALSE)&amp;"_"&amp;VLOOKUP($S68,Data!$B$3:$X$58,7,FALSE)&amp;"_"&amp;VLOOKUP($S68,Data!$B$3:$X$58,9,FALSE)&amp;"_1",'Electrial data'!$C$17:Q$48,4,FALSE)="","",VLOOKUP(VLOOKUP($S68,Data!$B$3:$X$58,10,FALSE)&amp;"_"&amp;VLOOKUP($S68,Data!$B$3:$X$58,7,FALSE)&amp;"_"&amp;VLOOKUP($S68,Data!$B$3:$X$58,9,FALSE)&amp;"_1",'Electrial data'!$C$17:$P$48,4,FALSE)),"")</f>
        <v>0</v>
      </c>
      <c r="V68" s="208">
        <f>IFERROR(IF(VLOOKUP(VLOOKUP($S68,Data!$B$3:$X$58,10,FALSE)&amp;"_"&amp;VLOOKUP($S68,Data!$B$3:$X$58,7,FALSE)&amp;"_"&amp;VLOOKUP($S68,Data!$B$3:$X$58,9,FALSE)&amp;"_1",'Electrial data'!$C$17:R$48,5,FALSE)="","",VLOOKUP(VLOOKUP($S68,Data!$B$3:$X$58,10,FALSE)&amp;"_"&amp;VLOOKUP($S68,Data!$B$3:$X$58,7,FALSE)&amp;"_"&amp;VLOOKUP($S68,Data!$B$3:$X$58,9,FALSE)&amp;"_1",'Electrial data'!$C$17:$P$48,5,FALSE)),"")</f>
        <v>0</v>
      </c>
      <c r="W68" s="208">
        <f>IFERROR(IF(VLOOKUP(VLOOKUP($S68,Data!$B$3:$X$58,10,FALSE)&amp;"_"&amp;VLOOKUP($S68,Data!$B$3:$X$58,7,FALSE)&amp;"_"&amp;VLOOKUP($S68,Data!$B$3:$X$58,9,FALSE)&amp;"_1",'Electrial data'!$C$17:S$48,6,FALSE)="","",VLOOKUP(VLOOKUP($S68,Data!$B$3:$X$58,10,FALSE)&amp;"_"&amp;VLOOKUP($S68,Data!$B$3:$X$58,7,FALSE)&amp;"_"&amp;VLOOKUP($S68,Data!$B$3:$X$58,9,FALSE)&amp;"_1",'Electrial data'!$C$17:$P$48,6,FALSE)),"")</f>
        <v>0</v>
      </c>
      <c r="X68" s="208">
        <f>IFERROR(IF(VLOOKUP(VLOOKUP($S68,Data!$B$3:$X$58,10,FALSE)&amp;"_"&amp;VLOOKUP($S68,Data!$B$3:$X$58,7,FALSE)&amp;"_"&amp;VLOOKUP($S68,Data!$B$3:$X$58,9,FALSE)&amp;"_1",'Electrial data'!$C$17:R$48,7,FALSE)="","",VLOOKUP(VLOOKUP($S68,Data!$B$3:$X$58,10,FALSE)&amp;"_"&amp;VLOOKUP($S68,Data!$B$3:$X$58,7,FALSE)&amp;"_"&amp;VLOOKUP($S68,Data!$B$3:$X$58,9,FALSE)&amp;"_1",'Electrial data'!$C$17:$P$48,7,FALSE)),"")</f>
        <v>6</v>
      </c>
      <c r="Y68" s="208">
        <f>IFERROR(IF(VLOOKUP(VLOOKUP($S68,Data!$B$3:$X$58,10,FALSE)&amp;"_"&amp;VLOOKUP($S68,Data!$B$3:$X$58,7,FALSE)&amp;"_"&amp;VLOOKUP($S68,Data!$B$3:$X$58,9,FALSE)&amp;"_1",'Electrial data'!$C$17:S$48,8,FALSE)="","",VLOOKUP(VLOOKUP($S68,Data!$B$3:$X$58,10,FALSE)&amp;"_"&amp;VLOOKUP($S68,Data!$B$3:$X$58,7,FALSE)&amp;"_"&amp;VLOOKUP($S68,Data!$B$3:$X$58,9,FALSE)&amp;"_1",'Electrial data'!$C$17:$P$48,8,FALSE)),"")</f>
        <v>5.8</v>
      </c>
      <c r="Z68" s="208">
        <f>IFERROR(IF(VLOOKUP(VLOOKUP($S68,Data!$B$3:$X$58,10,FALSE)&amp;"_"&amp;VLOOKUP($S68,Data!$B$3:$X$58,7,FALSE)&amp;"_"&amp;VLOOKUP($S68,Data!$B$3:$X$58,9,FALSE)&amp;"_1",'Electrial data'!$C$17:T$48,9,FALSE)="","",VLOOKUP(VLOOKUP($S68,Data!$B$3:$X$58,10,FALSE)&amp;"_"&amp;VLOOKUP($S68,Data!$B$3:$X$58,7,FALSE)&amp;"_"&amp;VLOOKUP($S68,Data!$B$3:$X$58,9,FALSE)&amp;"_1",'Electrial data'!$C$17:$P$48,9,FALSE)),"")</f>
        <v>6</v>
      </c>
      <c r="AA68" s="208">
        <f>IFERROR(IF(VLOOKUP(VLOOKUP($S68,Data!$B$3:$X$58,10,FALSE)&amp;"_"&amp;VLOOKUP($S68,Data!$B$3:$X$58,7,FALSE)&amp;"_"&amp;VLOOKUP($S68,Data!$B$3:$X$58,9,FALSE)&amp;"_1",'Electrial data'!$C$17:U$48,10,FALSE)="","",VLOOKUP(VLOOKUP($S68,Data!$B$3:$X$58,10,FALSE)&amp;"_"&amp;VLOOKUP($S68,Data!$B$3:$X$58,7,FALSE)&amp;"_"&amp;VLOOKUP($S68,Data!$B$3:$X$58,9,FALSE)&amp;"_1",'Electrial data'!$C$17:$P$48,10,FALSE)),"")</f>
        <v>5.8</v>
      </c>
      <c r="AB68" s="208">
        <f>IFERROR(IF(VLOOKUP(VLOOKUP($S68,Data!$B$3:$X$58,10,FALSE)&amp;"_"&amp;VLOOKUP($S68,Data!$B$3:$X$58,7,FALSE)&amp;"_"&amp;VLOOKUP($S68,Data!$B$3:$X$58,9,FALSE)&amp;"_1",'Electrial data'!$C$17:V$48,11,FALSE)="","",VLOOKUP(VLOOKUP($S68,Data!$B$3:$X$58,10,FALSE)&amp;"_"&amp;VLOOKUP($S68,Data!$B$3:$X$58,7,FALSE)&amp;"_"&amp;VLOOKUP($S68,Data!$B$3:$X$58,9,FALSE)&amp;"_1",'Electrial data'!$C$17:$P$48,11,FALSE)),"")</f>
        <v>7.5</v>
      </c>
      <c r="AC68" s="208">
        <f>IFERROR(IF(VLOOKUP(VLOOKUP($S68,Data!$B$3:$X$58,10,FALSE)&amp;"_"&amp;VLOOKUP($S68,Data!$B$3:$X$58,7,FALSE)&amp;"_"&amp;VLOOKUP($S68,Data!$B$3:$X$58,9,FALSE)&amp;"_1",'Electrial data'!$C$17:W$48,12,FALSE)="","",VLOOKUP(VLOOKUP($S68,Data!$B$3:$X$58,10,FALSE)&amp;"_"&amp;VLOOKUP($S68,Data!$B$3:$X$58,7,FALSE)&amp;"_"&amp;VLOOKUP($S68,Data!$B$3:$X$58,9,FALSE)&amp;"_1",'Electrial data'!$C$17:$P$48,12,FALSE)),"")</f>
        <v>7.3</v>
      </c>
      <c r="AD68" s="208">
        <f>IFERROR(IF(VLOOKUP(VLOOKUP($S68,Data!$B$3:$X$58,10,FALSE)&amp;"_"&amp;VLOOKUP($S68,Data!$B$3:$X$58,7,FALSE)&amp;"_"&amp;VLOOKUP($S68,Data!$B$3:$X$58,9,FALSE)&amp;"_1",'Electrial data'!$C$17:X$48,13,FALSE)="","",VLOOKUP(VLOOKUP($S68,Data!$B$3:$X$58,10,FALSE)&amp;"_"&amp;VLOOKUP($S68,Data!$B$3:$X$58,7,FALSE)&amp;"_"&amp;VLOOKUP($S68,Data!$B$3:$X$58,9,FALSE)&amp;"_1",'Electrial data'!$C$17:$P$48,13,FALSE)),"")</f>
        <v>15</v>
      </c>
      <c r="AE68" s="208">
        <f>IFERROR(IF(VLOOKUP(VLOOKUP($S68,Data!$B$3:$X$58,10,FALSE)&amp;"_"&amp;VLOOKUP($S68,Data!$B$3:$X$58,7,FALSE)&amp;"_"&amp;VLOOKUP($S68,Data!$B$3:$X$58,9,FALSE)&amp;"_1",'Electrial data'!$C$17:Y$48,14,FALSE)="","",VLOOKUP(VLOOKUP($S68,Data!$B$3:$X$58,10,FALSE)&amp;"_"&amp;VLOOKUP($S68,Data!$B$3:$X$58,7,FALSE)&amp;"_"&amp;VLOOKUP($S68,Data!$B$3:$X$58,9,FALSE)&amp;"_1",'Electrial data'!$C$17:$P$48,14,FALSE)),"")</f>
        <v>15</v>
      </c>
      <c r="AF68" s="206"/>
      <c r="AG68" s="195"/>
    </row>
    <row r="69" spans="1:33" ht="18.75" customHeight="1">
      <c r="A69" s="88"/>
      <c r="B69" s="115"/>
      <c r="C69" s="245" t="str">
        <f>IF(Front!G32= "","",Front!G32)</f>
        <v>AMHE5D00B2N1</v>
      </c>
      <c r="D69" s="245"/>
      <c r="E69" s="208">
        <f>IFERROR(IF(VLOOKUP(VLOOKUP($C$69,Data!$B$3:$X$58,7,FALSE)&amp;"_"&amp;VLOOKUP($C$69,Data!$B$3:$X$58,3,FALSE)&amp;"_1",Airflow!$B$6:$N$25,3,FALSE)="","",VLOOKUP(VLOOKUP($C$69,Data!$B$3:$X$58,7,FALSE)&amp;"_"&amp;VLOOKUP($C$69,Data!$B$3:$X$58,3,FALSE)&amp;"_1",Airflow!$B$6:$N$25,3,FALSE)),"")</f>
        <v>1</v>
      </c>
      <c r="F69" s="208">
        <f>IFERROR(IF(VLOOKUP(VLOOKUP($C$69,Data!$B$3:$X$58,7,FALSE)&amp;"_"&amp;VLOOKUP($C$69,Data!$B$3:$X$58,3,FALSE)&amp;"_1",Airflow!$B$6:$N$25,4,FALSE)="","",VLOOKUP(VLOOKUP($C$69,Data!$B$3:$X$58,7,FALSE)&amp;"_"&amp;VLOOKUP($C$69,Data!$B$3:$X$58,3,FALSE)&amp;"_1",Airflow!$B$6:$N$25,4,FALSE)),"")</f>
        <v>858</v>
      </c>
      <c r="G69" s="208">
        <f>IFERROR(IF(VLOOKUP(VLOOKUP($C$69,Data!$B$3:$X$58,7,FALSE)&amp;"_"&amp;VLOOKUP($C$69,Data!$B$3:$X$58,3,FALSE)&amp;"_1",Airflow!$B$6:$N$25,5,FALSE)="","",VLOOKUP(VLOOKUP($C$69,Data!$B$3:$X$58,7,FALSE)&amp;"_"&amp;VLOOKUP($C$69,Data!$B$3:$X$58,3,FALSE)&amp;"_1",Airflow!$B$6:$N$25,5,FALSE)),"")</f>
        <v>798</v>
      </c>
      <c r="H69" s="208">
        <f>IFERROR(IF(VLOOKUP(VLOOKUP($C$69,Data!$B$3:$X$58,7,FALSE)&amp;"_"&amp;VLOOKUP($C$69,Data!$B$3:$X$58,3,FALSE)&amp;"_1",Airflow!$B$6:$N$25,6,FALSE)="","",VLOOKUP(VLOOKUP($C$69,Data!$B$3:$X$58,7,FALSE)&amp;"_"&amp;VLOOKUP($C$69,Data!$B$3:$X$58,3,FALSE)&amp;"_1",Airflow!$B$6:$N$25,6,FALSE)),"")</f>
        <v>731</v>
      </c>
      <c r="I69" s="208">
        <f>IFERROR(IF(VLOOKUP(VLOOKUP($C$69,Data!$B$3:$X$58,7,FALSE)&amp;"_"&amp;VLOOKUP($C$69,Data!$B$3:$X$58,3,FALSE)&amp;"_1",Airflow!$B$6:$N$25,7,FALSE)="","",VLOOKUP(VLOOKUP($C$69,Data!$B$3:$X$58,7,FALSE)&amp;"_"&amp;VLOOKUP($C$69,Data!$B$3:$X$58,3,FALSE)&amp;"_1",Airflow!$B$6:$N$25,7,FALSE)),"")</f>
        <v>661</v>
      </c>
      <c r="J69" s="208">
        <f>IFERROR(IF(VLOOKUP(VLOOKUP($C$69,Data!$B$3:$X$58,7,FALSE)&amp;"_"&amp;VLOOKUP($C$69,Data!$B$3:$X$58,3,FALSE)&amp;"_1",Airflow!$B$6:$N$25,8,FALSE)="","",VLOOKUP(VLOOKUP($C$69,Data!$B$3:$X$58,7,FALSE)&amp;"_"&amp;VLOOKUP($C$69,Data!$B$3:$X$58,3,FALSE)&amp;"_1",Airflow!$B$6:$N$25,8,FALSE)),"")</f>
        <v>596</v>
      </c>
      <c r="K69" s="208">
        <f>IFERROR(IF(VLOOKUP(VLOOKUP($C$69,Data!$B$3:$X$58,7,FALSE)&amp;"_"&amp;VLOOKUP($C$69,Data!$B$3:$X$58,3,FALSE)&amp;"_1",Airflow!$B$6:$N$25,9,FALSE)="","",VLOOKUP(VLOOKUP($C$69,Data!$B$3:$X$58,7,FALSE)&amp;"_"&amp;VLOOKUP($C$69,Data!$B$3:$X$58,3,FALSE)&amp;"_1",Airflow!$B$6:$N$25,9,FALSE)),"")</f>
        <v>536</v>
      </c>
      <c r="L69" s="208">
        <f>IFERROR(IF(VLOOKUP(VLOOKUP($C$69,Data!$B$3:$X$58,7,FALSE)&amp;"_"&amp;VLOOKUP($C$69,Data!$B$3:$X$58,3,FALSE)&amp;"_1",Airflow!$B$6:$N$25,10,FALSE)="","",VLOOKUP(VLOOKUP($C$69,Data!$B$3:$X$58,7,FALSE)&amp;"_"&amp;VLOOKUP($C$69,Data!$B$3:$X$58,3,FALSE)&amp;"_1",Airflow!$B$6:$N$25,10,FALSE)),"")</f>
        <v>492</v>
      </c>
      <c r="M69" s="208">
        <f>IFERROR(IF(VLOOKUP(VLOOKUP($C$69,Data!$B$3:$X$58,7,FALSE)&amp;"_"&amp;VLOOKUP($C$69,Data!$B$3:$X$58,3,FALSE)&amp;"_1",Airflow!$B$6:$N$25,11,FALSE)="","",VLOOKUP(VLOOKUP($C$69,Data!$B$3:$X$58,7,FALSE)&amp;"_"&amp;VLOOKUP($C$69,Data!$B$3:$X$58,3,FALSE)&amp;"_1",Airflow!$B$6:$N$25,11,FALSE)),"")</f>
        <v>450</v>
      </c>
      <c r="N69" s="208">
        <f>IFERROR(IF(VLOOKUP(VLOOKUP($C$69,Data!$B$3:$X$58,7,FALSE)&amp;"_"&amp;VLOOKUP($C$69,Data!$B$3:$X$58,3,FALSE)&amp;"_1",Airflow!$B$6:$N$25,12,FALSE)="","",VLOOKUP(VLOOKUP($C$69,Data!$B$3:$X$58,7,FALSE)&amp;"_"&amp;VLOOKUP($C$69,Data!$B$3:$X$58,3,FALSE)&amp;"_1",Airflow!$B$6:$N$25,12,FALSE)),"")</f>
        <v>449</v>
      </c>
      <c r="O69" s="208">
        <f>IFERROR(IF(VLOOKUP(VLOOKUP($C$69,Data!$B$3:$X$58,7,FALSE)&amp;"_"&amp;VLOOKUP($C$69,Data!$B$3:$X$58,3,FALSE)&amp;"_1",Airflow!$B$6:$N$25,13,FALSE)="","",VLOOKUP(VLOOKUP($C$69,Data!$B$3:$X$58,7,FALSE)&amp;"_"&amp;VLOOKUP($C$69,Data!$B$3:$X$58,3,FALSE)&amp;"_1",Airflow!$B$6:$N$25,13,FALSE)),"")</f>
        <v>449</v>
      </c>
      <c r="P69" s="206"/>
      <c r="Q69" s="195"/>
      <c r="R69" s="207"/>
      <c r="S69" s="213"/>
      <c r="T69" s="208" t="str">
        <f>IFERROR(IF(VLOOKUP(VLOOKUP($S68,Data!$B$3:$X$58,10,FALSE)&amp;"_"&amp;VLOOKUP($S68,Data!$B$3:$X$58,7,FALSE)&amp;"_"&amp;VLOOKUP($S68,Data!$B$3:$X$58,9,FALSE)&amp;"_2",'Electrial data'!$C$17:P$48,3,FALSE)="","",VLOOKUP(VLOOKUP($S68,Data!$B$3:$X$58,10,FALSE)&amp;"_"&amp;VLOOKUP($S68,Data!$B$3:$X$58,7,FALSE)&amp;"_"&amp;VLOOKUP($S68,Data!$B$3:$X$58,9,FALSE)&amp;"_2",'Electrial data'!$C$17:$P$48,3,FALSE)),"")</f>
        <v/>
      </c>
      <c r="U69" s="208" t="str">
        <f>IFERROR(IF(VLOOKUP(VLOOKUP($S68,Data!$B$3:$X$58,10,FALSE)&amp;"_"&amp;VLOOKUP($S68,Data!$B$3:$X$58,7,FALSE)&amp;"_"&amp;VLOOKUP($S68,Data!$B$3:$X$58,9,FALSE)&amp;"_2",'Electrial data'!$C$17:Q$48,4,FALSE)="","",VLOOKUP(VLOOKUP($S68,Data!$B$3:$X$58,10,FALSE)&amp;"_"&amp;VLOOKUP($S68,Data!$B$3:$X$58,7,FALSE)&amp;"_"&amp;VLOOKUP($S68,Data!$B$3:$X$58,9,FALSE)&amp;"_2",'Electrial data'!$C$17:$P$48,4,FALSE)),"")</f>
        <v/>
      </c>
      <c r="V69" s="208" t="str">
        <f>IFERROR(IF(VLOOKUP(VLOOKUP($S68,Data!$B$3:$X$58,10,FALSE)&amp;"_"&amp;VLOOKUP($S68,Data!$B$3:$X$58,7,FALSE)&amp;"_"&amp;VLOOKUP($S68,Data!$B$3:$X$58,9,FALSE)&amp;"_2",'Electrial data'!$C$17:R$48,5,FALSE)="","",VLOOKUP(VLOOKUP($S68,Data!$B$3:$X$58,10,FALSE)&amp;"_"&amp;VLOOKUP($S68,Data!$B$3:$X$58,7,FALSE)&amp;"_"&amp;VLOOKUP($S68,Data!$B$3:$X$58,9,FALSE)&amp;"_2",'Electrial data'!$C$17:$P$48,5,FALSE)),"")</f>
        <v/>
      </c>
      <c r="W69" s="208" t="str">
        <f>IFERROR(IF(VLOOKUP(VLOOKUP($S68,Data!$B$3:$X$58,10,FALSE)&amp;"_"&amp;VLOOKUP($S68,Data!$B$3:$X$58,7,FALSE)&amp;"_"&amp;VLOOKUP($S68,Data!$B$3:$X$58,9,FALSE)&amp;"_2",'Electrial data'!$C$17:S$48,6,FALSE)="","",VLOOKUP(VLOOKUP($S68,Data!$B$3:$X$58,10,FALSE)&amp;"_"&amp;VLOOKUP($S68,Data!$B$3:$X$58,7,FALSE)&amp;"_"&amp;VLOOKUP($S68,Data!$B$3:$X$58,9,FALSE)&amp;"_2",'Electrial data'!$C$17:$P$48,6,FALSE)),"")</f>
        <v/>
      </c>
      <c r="X69" s="208" t="str">
        <f>IFERROR(IF(VLOOKUP(VLOOKUP($S68,Data!$B$3:$X$58,10,FALSE)&amp;"_"&amp;VLOOKUP($S68,Data!$B$3:$X$58,7,FALSE)&amp;"_"&amp;VLOOKUP($S68,Data!$B$3:$X$58,9,FALSE)&amp;"_2",'Electrial data'!$C$17:R$48,7,FALSE)="","",VLOOKUP(VLOOKUP($S68,Data!$B$3:$X$58,10,FALSE)&amp;"_"&amp;VLOOKUP($S68,Data!$B$3:$X$58,7,FALSE)&amp;"_"&amp;VLOOKUP($S68,Data!$B$3:$X$58,9,FALSE)&amp;"_2",'Electrial data'!$C$17:$P$48,7,FALSE)),"")</f>
        <v/>
      </c>
      <c r="Y69" s="208" t="str">
        <f>IFERROR(IF(VLOOKUP(VLOOKUP($S68,Data!$B$3:$X$58,10,FALSE)&amp;"_"&amp;VLOOKUP($S68,Data!$B$3:$X$58,7,FALSE)&amp;"_"&amp;VLOOKUP($S68,Data!$B$3:$X$58,9,FALSE)&amp;"_2",'Electrial data'!$C$17:S$48,8,FALSE)="","",VLOOKUP(VLOOKUP($S68,Data!$B$3:$X$58,10,FALSE)&amp;"_"&amp;VLOOKUP($S68,Data!$B$3:$X$58,7,FALSE)&amp;"_"&amp;VLOOKUP($S68,Data!$B$3:$X$58,9,FALSE)&amp;"_2",'Electrial data'!$C$17:$P$48,8,FALSE)),"")</f>
        <v/>
      </c>
      <c r="Z69" s="208" t="str">
        <f>IFERROR(IF(VLOOKUP(VLOOKUP($S68,Data!$B$3:$X$58,10,FALSE)&amp;"_"&amp;VLOOKUP($S68,Data!$B$3:$X$58,7,FALSE)&amp;"_"&amp;VLOOKUP($S68,Data!$B$3:$X$58,9,FALSE)&amp;"_2",'Electrial data'!$C$17:T$48,9,FALSE)="","",VLOOKUP(VLOOKUP($S68,Data!$B$3:$X$58,10,FALSE)&amp;"_"&amp;VLOOKUP($S68,Data!$B$3:$X$58,7,FALSE)&amp;"_"&amp;VLOOKUP($S68,Data!$B$3:$X$58,9,FALSE)&amp;"_2",'Electrial data'!$C$17:$P$48,9,FALSE)),"")</f>
        <v/>
      </c>
      <c r="AA69" s="208" t="str">
        <f>IFERROR(IF(VLOOKUP(VLOOKUP($S68,Data!$B$3:$X$58,10,FALSE)&amp;"_"&amp;VLOOKUP($S68,Data!$B$3:$X$58,7,FALSE)&amp;"_"&amp;VLOOKUP($S68,Data!$B$3:$X$58,9,FALSE)&amp;"_2",'Electrial data'!$C$17:U$48,10,FALSE)="","",VLOOKUP(VLOOKUP($S68,Data!$B$3:$X$58,10,FALSE)&amp;"_"&amp;VLOOKUP($S68,Data!$B$3:$X$58,7,FALSE)&amp;"_"&amp;VLOOKUP($S68,Data!$B$3:$X$58,9,FALSE)&amp;"_2",'Electrial data'!$C$17:$P$48,10,FALSE)),"")</f>
        <v/>
      </c>
      <c r="AB69" s="208" t="str">
        <f>IFERROR(IF(VLOOKUP(VLOOKUP($S68,Data!$B$3:$X$58,10,FALSE)&amp;"_"&amp;VLOOKUP($S68,Data!$B$3:$X$58,7,FALSE)&amp;"_"&amp;VLOOKUP($S68,Data!$B$3:$X$58,9,FALSE)&amp;"_2",'Electrial data'!$C$17:V$48,11,FALSE)="","",VLOOKUP(VLOOKUP($S68,Data!$B$3:$X$58,10,FALSE)&amp;"_"&amp;VLOOKUP($S68,Data!$B$3:$X$58,7,FALSE)&amp;"_"&amp;VLOOKUP($S68,Data!$B$3:$X$58,9,FALSE)&amp;"_2",'Electrial data'!$C$17:$P$48,11,FALSE)),"")</f>
        <v/>
      </c>
      <c r="AC69" s="208" t="str">
        <f>IFERROR(IF(VLOOKUP(VLOOKUP($S68,Data!$B$3:$X$58,10,FALSE)&amp;"_"&amp;VLOOKUP($S68,Data!$B$3:$X$58,7,FALSE)&amp;"_"&amp;VLOOKUP($S68,Data!$B$3:$X$58,9,FALSE)&amp;"_2",'Electrial data'!$C$17:W$48,12,FALSE)="","",VLOOKUP(VLOOKUP($S68,Data!$B$3:$X$58,10,FALSE)&amp;"_"&amp;VLOOKUP($S68,Data!$B$3:$X$58,7,FALSE)&amp;"_"&amp;VLOOKUP($S68,Data!$B$3:$X$58,9,FALSE)&amp;"_2",'Electrial data'!$C$17:$P$48,12,FALSE)),"")</f>
        <v/>
      </c>
      <c r="AD69" s="208" t="str">
        <f>IFERROR(IF(VLOOKUP(VLOOKUP($S68,Data!$B$3:$X$58,10,FALSE)&amp;"_"&amp;VLOOKUP($S68,Data!$B$3:$X$58,7,FALSE)&amp;"_"&amp;VLOOKUP($S68,Data!$B$3:$X$58,9,FALSE)&amp;"_2",'Electrial data'!$C$17:X$48,13,FALSE)="","",VLOOKUP(VLOOKUP($S68,Data!$B$3:$X$58,10,FALSE)&amp;"_"&amp;VLOOKUP($S68,Data!$B$3:$X$58,7,FALSE)&amp;"_"&amp;VLOOKUP($S68,Data!$B$3:$X$58,9,FALSE)&amp;"_2",'Electrial data'!$C$17:$P$48,13,FALSE)),"")</f>
        <v/>
      </c>
      <c r="AE69" s="208" t="str">
        <f>IFERROR(IF(VLOOKUP(VLOOKUP($S68,Data!$B$3:$X$58,10,FALSE)&amp;"_"&amp;VLOOKUP($S68,Data!$B$3:$X$58,7,FALSE)&amp;"_"&amp;VLOOKUP($S68,Data!$B$3:$X$58,9,FALSE)&amp;"_2",'Electrial data'!$C$17:Y$48,14,FALSE)="","",VLOOKUP(VLOOKUP($S68,Data!$B$3:$X$58,10,FALSE)&amp;"_"&amp;VLOOKUP($S68,Data!$B$3:$X$58,7,FALSE)&amp;"_"&amp;VLOOKUP($S68,Data!$B$3:$X$58,9,FALSE)&amp;"_2",'Electrial data'!$C$17:$P$48,14,FALSE)),"")</f>
        <v/>
      </c>
      <c r="AF69" s="206"/>
      <c r="AG69" s="195"/>
    </row>
    <row r="70" spans="1:33" ht="18.75" customHeight="1">
      <c r="A70" s="34"/>
      <c r="B70" s="117"/>
      <c r="C70" s="212"/>
      <c r="D70" s="212"/>
      <c r="E70" s="208">
        <f>IFERROR(IF(VLOOKUP(VLOOKUP($C$69,Data!$B$3:$X$58,7,FALSE)&amp;"_"&amp;VLOOKUP($C$69,Data!$B$3:$X$58,3,FALSE)&amp;"_3",Airflow!$B$6:$N$25,3,FALSE)="","",VLOOKUP(VLOOKUP($C$69,Data!$B$3:$X$58,7,FALSE)&amp;"_"&amp;VLOOKUP($C$69,Data!$B$3:$X$58,3,FALSE)&amp;"_2",Airflow!$B$6:$N$25,3,FALSE)),"")</f>
        <v>2</v>
      </c>
      <c r="F70" s="208">
        <f>IFERROR(IF(VLOOKUP(VLOOKUP($C$69,Data!$B$3:$X$58,7,FALSE)&amp;"_"&amp;VLOOKUP($C$69,Data!$B$3:$X$58,3,FALSE)&amp;"_3",Airflow!$B$6:$N$25,4,FALSE)="","",VLOOKUP(VLOOKUP($C$69,Data!$B$3:$X$58,7,FALSE)&amp;"_"&amp;VLOOKUP($C$69,Data!$B$3:$X$58,3,FALSE)&amp;"_2",Airflow!$B$6:$N$25,4,FALSE)),"")</f>
        <v>1053</v>
      </c>
      <c r="G70" s="208">
        <f>IFERROR(IF(VLOOKUP(VLOOKUP($C$69,Data!$B$3:$X$58,7,FALSE)&amp;"_"&amp;VLOOKUP($C$69,Data!$B$3:$X$58,3,FALSE)&amp;"_3",Airflow!$B$6:$N$25,5,FALSE)="","",VLOOKUP(VLOOKUP($C$69,Data!$B$3:$X$58,7,FALSE)&amp;"_"&amp;VLOOKUP($C$69,Data!$B$3:$X$58,3,FALSE)&amp;"_2",Airflow!$B$6:$N$25,5,FALSE)),"")</f>
        <v>1015</v>
      </c>
      <c r="H70" s="208">
        <f>IFERROR(IF(VLOOKUP(VLOOKUP($C$69,Data!$B$3:$X$58,7,FALSE)&amp;"_"&amp;VLOOKUP($C$69,Data!$B$3:$X$58,3,FALSE)&amp;"_3",Airflow!$B$6:$N$25,6,FALSE)="","",VLOOKUP(VLOOKUP($C$69,Data!$B$3:$X$58,7,FALSE)&amp;"_"&amp;VLOOKUP($C$69,Data!$B$3:$X$58,3,FALSE)&amp;"_2",Airflow!$B$6:$N$25,6,FALSE)),"")</f>
        <v>962</v>
      </c>
      <c r="I70" s="208">
        <f>IFERROR(IF(VLOOKUP(VLOOKUP($C$69,Data!$B$3:$X$58,7,FALSE)&amp;"_"&amp;VLOOKUP($C$69,Data!$B$3:$X$58,3,FALSE)&amp;"_3",Airflow!$B$6:$N$25,7,FALSE)="","",VLOOKUP(VLOOKUP($C$69,Data!$B$3:$X$58,7,FALSE)&amp;"_"&amp;VLOOKUP($C$69,Data!$B$3:$X$58,3,FALSE)&amp;"_2",Airflow!$B$6:$N$25,7,FALSE)),"")</f>
        <v>904</v>
      </c>
      <c r="J70" s="208">
        <f>IFERROR(IF(VLOOKUP(VLOOKUP($C$69,Data!$B$3:$X$58,7,FALSE)&amp;"_"&amp;VLOOKUP($C$69,Data!$B$3:$X$58,3,FALSE)&amp;"_3",Airflow!$B$6:$N$25,8,FALSE)="","",VLOOKUP(VLOOKUP($C$69,Data!$B$3:$X$58,7,FALSE)&amp;"_"&amp;VLOOKUP($C$69,Data!$B$3:$X$58,3,FALSE)&amp;"_2",Airflow!$B$6:$N$25,8,FALSE)),"")</f>
        <v>848</v>
      </c>
      <c r="K70" s="208">
        <f>IFERROR(IF(VLOOKUP(VLOOKUP($C$69,Data!$B$3:$X$58,7,FALSE)&amp;"_"&amp;VLOOKUP($C$69,Data!$B$3:$X$58,3,FALSE)&amp;"_3",Airflow!$B$6:$N$25,9,FALSE)="","",VLOOKUP(VLOOKUP($C$69,Data!$B$3:$X$58,7,FALSE)&amp;"_"&amp;VLOOKUP($C$69,Data!$B$3:$X$58,3,FALSE)&amp;"_2",Airflow!$B$6:$N$25,9,FALSE)),"")</f>
        <v>790</v>
      </c>
      <c r="L70" s="208">
        <f>IFERROR(IF(VLOOKUP(VLOOKUP($C$69,Data!$B$3:$X$58,7,FALSE)&amp;"_"&amp;VLOOKUP($C$69,Data!$B$3:$X$58,3,FALSE)&amp;"_3",Airflow!$B$6:$N$25,10,FALSE)="","",VLOOKUP(VLOOKUP($C$69,Data!$B$3:$X$58,7,FALSE)&amp;"_"&amp;VLOOKUP($C$69,Data!$B$3:$X$58,3,FALSE)&amp;"_2",Airflow!$B$6:$N$25,10,FALSE)),"")</f>
        <v>738</v>
      </c>
      <c r="M70" s="208">
        <f>IFERROR(IF(VLOOKUP(VLOOKUP($C$69,Data!$B$3:$X$58,7,FALSE)&amp;"_"&amp;VLOOKUP($C$69,Data!$B$3:$X$58,3,FALSE)&amp;"_3",Airflow!$B$6:$N$25,11,FALSE)="","",VLOOKUP(VLOOKUP($C$69,Data!$B$3:$X$58,7,FALSE)&amp;"_"&amp;VLOOKUP($C$69,Data!$B$3:$X$58,3,FALSE)&amp;"_2",Airflow!$B$6:$N$25,11,FALSE)),"")</f>
        <v>693</v>
      </c>
      <c r="N70" s="208">
        <f>IFERROR(IF(VLOOKUP(VLOOKUP($C$69,Data!$B$3:$X$58,7,FALSE)&amp;"_"&amp;VLOOKUP($C$69,Data!$B$3:$X$58,3,FALSE)&amp;"_3",Airflow!$B$6:$N$25,12,FALSE)="","",VLOOKUP(VLOOKUP($C$69,Data!$B$3:$X$58,7,FALSE)&amp;"_"&amp;VLOOKUP($C$69,Data!$B$3:$X$58,3,FALSE)&amp;"_2",Airflow!$B$6:$N$25,12,FALSE)),"")</f>
        <v>643</v>
      </c>
      <c r="O70" s="208">
        <f>IFERROR(IF(VLOOKUP(VLOOKUP($C$69,Data!$B$3:$X$58,7,FALSE)&amp;"_"&amp;VLOOKUP($C$69,Data!$B$3:$X$58,3,FALSE)&amp;"_3",Airflow!$B$6:$N$25,13,FALSE)="","",VLOOKUP(VLOOKUP($C$69,Data!$B$3:$X$58,7,FALSE)&amp;"_"&amp;VLOOKUP($C$69,Data!$B$3:$X$58,3,FALSE)&amp;"_2",Airflow!$B$6:$N$25,13,FALSE)),"")</f>
        <v>639</v>
      </c>
      <c r="P70" s="206"/>
      <c r="Q70" s="195"/>
      <c r="R70" s="207"/>
      <c r="S70" s="219"/>
      <c r="T70" s="215"/>
      <c r="U70" s="224"/>
      <c r="V70" s="215"/>
      <c r="W70" s="216"/>
      <c r="X70" s="217"/>
      <c r="Y70" s="217"/>
      <c r="Z70" s="217"/>
      <c r="AA70" s="217"/>
      <c r="AB70" s="217"/>
      <c r="AC70" s="217"/>
      <c r="AD70" s="216"/>
      <c r="AE70" s="215"/>
      <c r="AF70" s="206"/>
      <c r="AG70" s="195"/>
    </row>
    <row r="71" spans="1:33" ht="18.75" customHeight="1">
      <c r="A71" s="94"/>
      <c r="B71" s="118"/>
      <c r="C71" s="212"/>
      <c r="D71" s="212"/>
      <c r="E71" s="208">
        <f>IFERROR(IF(VLOOKUP(VLOOKUP($C$69,Data!$B$3:$X$58,7,FALSE)&amp;"_"&amp;VLOOKUP($C$69,Data!$B$3:$X$58,3,FALSE)&amp;"_3",Airflow!$B$6:$N$25,3,FALSE)="","",VLOOKUP(VLOOKUP($C$69,Data!$B$3:$X$58,7,FALSE)&amp;"_"&amp;VLOOKUP($C$69,Data!$B$3:$X$58,3,FALSE)&amp;"_3",Airflow!$B$6:$N$25,3,FALSE)),"")</f>
        <v>3</v>
      </c>
      <c r="F71" s="208">
        <f>IFERROR(IF(VLOOKUP(VLOOKUP($C$69,Data!$B$3:$X$58,7,FALSE)&amp;"_"&amp;VLOOKUP($C$69,Data!$B$3:$X$58,3,FALSE)&amp;"_3",Airflow!$B$6:$N$25,4,FALSE)="","",VLOOKUP(VLOOKUP($C$69,Data!$B$3:$X$58,7,FALSE)&amp;"_"&amp;VLOOKUP($C$69,Data!$B$3:$X$58,3,FALSE)&amp;"_3",Airflow!$B$6:$N$25,4,FALSE)),"")</f>
        <v>1202</v>
      </c>
      <c r="G71" s="208">
        <f>IFERROR(IF(VLOOKUP(VLOOKUP($C$69,Data!$B$3:$X$58,7,FALSE)&amp;"_"&amp;VLOOKUP($C$69,Data!$B$3:$X$58,3,FALSE)&amp;"_3",Airflow!$B$6:$N$25,5,FALSE)="","",VLOOKUP(VLOOKUP($C$69,Data!$B$3:$X$58,7,FALSE)&amp;"_"&amp;VLOOKUP($C$69,Data!$B$3:$X$58,3,FALSE)&amp;"_3",Airflow!$B$6:$N$25,5,FALSE)),"")</f>
        <v>1160</v>
      </c>
      <c r="H71" s="208">
        <f>IFERROR(IF(VLOOKUP(VLOOKUP($C$69,Data!$B$3:$X$58,7,FALSE)&amp;"_"&amp;VLOOKUP($C$69,Data!$B$3:$X$58,3,FALSE)&amp;"_3",Airflow!$B$6:$N$25,6,FALSE)="","",VLOOKUP(VLOOKUP($C$69,Data!$B$3:$X$58,7,FALSE)&amp;"_"&amp;VLOOKUP($C$69,Data!$B$3:$X$58,3,FALSE)&amp;"_3",Airflow!$B$6:$N$25,6,FALSE)),"")</f>
        <v>1116</v>
      </c>
      <c r="I71" s="208">
        <f>IFERROR(IF(VLOOKUP(VLOOKUP($C$69,Data!$B$3:$X$58,7,FALSE)&amp;"_"&amp;VLOOKUP($C$69,Data!$B$3:$X$58,3,FALSE)&amp;"_3",Airflow!$B$6:$N$25,7,FALSE)="","",VLOOKUP(VLOOKUP($C$69,Data!$B$3:$X$58,7,FALSE)&amp;"_"&amp;VLOOKUP($C$69,Data!$B$3:$X$58,3,FALSE)&amp;"_3",Airflow!$B$6:$N$25,7,FALSE)),"")</f>
        <v>1068</v>
      </c>
      <c r="J71" s="208">
        <f>IFERROR(IF(VLOOKUP(VLOOKUP($C$69,Data!$B$3:$X$58,7,FALSE)&amp;"_"&amp;VLOOKUP($C$69,Data!$B$3:$X$58,3,FALSE)&amp;"_3",Airflow!$B$6:$N$25,8,FALSE)="","",VLOOKUP(VLOOKUP($C$69,Data!$B$3:$X$58,7,FALSE)&amp;"_"&amp;VLOOKUP($C$69,Data!$B$3:$X$58,3,FALSE)&amp;"_3",Airflow!$B$6:$N$25,8,FALSE)),"")</f>
        <v>1013</v>
      </c>
      <c r="K71" s="208">
        <f>IFERROR(IF(VLOOKUP(VLOOKUP($C$69,Data!$B$3:$X$58,7,FALSE)&amp;"_"&amp;VLOOKUP($C$69,Data!$B$3:$X$58,3,FALSE)&amp;"_3",Airflow!$B$6:$N$25,9,FALSE)="","",VLOOKUP(VLOOKUP($C$69,Data!$B$3:$X$58,7,FALSE)&amp;"_"&amp;VLOOKUP($C$69,Data!$B$3:$X$58,3,FALSE)&amp;"_3",Airflow!$B$6:$N$25,9,FALSE)),"")</f>
        <v>965</v>
      </c>
      <c r="L71" s="208">
        <f>IFERROR(IF(VLOOKUP(VLOOKUP($C$69,Data!$B$3:$X$58,7,FALSE)&amp;"_"&amp;VLOOKUP($C$69,Data!$B$3:$X$58,3,FALSE)&amp;"_3",Airflow!$B$6:$N$25,10,FALSE)="","",VLOOKUP(VLOOKUP($C$69,Data!$B$3:$X$58,7,FALSE)&amp;"_"&amp;VLOOKUP($C$69,Data!$B$3:$X$58,3,FALSE)&amp;"_3",Airflow!$B$6:$N$25,10,FALSE)),"")</f>
        <v>911</v>
      </c>
      <c r="M71" s="208">
        <f>IFERROR(IF(VLOOKUP(VLOOKUP($C$69,Data!$B$3:$X$58,7,FALSE)&amp;"_"&amp;VLOOKUP($C$69,Data!$B$3:$X$58,3,FALSE)&amp;"_3",Airflow!$B$6:$N$25,11,FALSE)="","",VLOOKUP(VLOOKUP($C$69,Data!$B$3:$X$58,7,FALSE)&amp;"_"&amp;VLOOKUP($C$69,Data!$B$3:$X$58,3,FALSE)&amp;"_3",Airflow!$B$6:$N$25,11,FALSE)),"")</f>
        <v>861</v>
      </c>
      <c r="N71" s="208">
        <f>IFERROR(IF(VLOOKUP(VLOOKUP($C$69,Data!$B$3:$X$58,7,FALSE)&amp;"_"&amp;VLOOKUP($C$69,Data!$B$3:$X$58,3,FALSE)&amp;"_3",Airflow!$B$6:$N$25,12,FALSE)="","",VLOOKUP(VLOOKUP($C$69,Data!$B$3:$X$58,7,FALSE)&amp;"_"&amp;VLOOKUP($C$69,Data!$B$3:$X$58,3,FALSE)&amp;"_3",Airflow!$B$6:$N$25,12,FALSE)),"")</f>
        <v>818</v>
      </c>
      <c r="O71" s="208">
        <f>IFERROR(IF(VLOOKUP(VLOOKUP($C$69,Data!$B$3:$X$58,7,FALSE)&amp;"_"&amp;VLOOKUP($C$69,Data!$B$3:$X$58,3,FALSE)&amp;"_3",Airflow!$B$6:$N$25,13,FALSE)="","",VLOOKUP(VLOOKUP($C$69,Data!$B$3:$X$58,7,FALSE)&amp;"_"&amp;VLOOKUP($C$69,Data!$B$3:$X$58,3,FALSE)&amp;"_3",Airflow!$B$6:$N$25,13,FALSE)),"")</f>
        <v>810</v>
      </c>
      <c r="P71" s="206"/>
      <c r="Q71" s="195"/>
      <c r="R71" s="207"/>
      <c r="S71" s="241" t="str">
        <f>IF(Front!D39= "120 V, 60 Hz, 1 ph.","Unit Size","")</f>
        <v/>
      </c>
      <c r="T71" s="241" t="str">
        <f>IF(Front!D39= "120 V, 60 Hz, 1 ph.","Circuit","")</f>
        <v/>
      </c>
      <c r="U71" s="242" t="str">
        <f>IF(Front!D39= "120 V, 60 Hz, 1 ph.","Total Heat Capacity","")</f>
        <v/>
      </c>
      <c r="V71" s="241" t="str">
        <f>IF(Front!D39= "120 V, 60 Hz, 1 ph.","Electric Heating capacity","")</f>
        <v/>
      </c>
      <c r="W71" s="241"/>
      <c r="X71" s="242" t="str">
        <f>IF(Front!D39= "120 V, 60 Hz, 1 ph.","Blower Amps (A)","")</f>
        <v/>
      </c>
      <c r="Y71" s="242"/>
      <c r="Z71" s="242" t="str">
        <f>IF(Front!D39= "120 V, 60 Hz, 1 ph.","Total Current (A)","")</f>
        <v/>
      </c>
      <c r="AA71" s="242"/>
      <c r="AB71" s="242" t="str">
        <f>IF(Front!D39= "120 V, 60 Hz, 1 ph.","Minimum Circuit Ampacity (A)","")</f>
        <v/>
      </c>
      <c r="AC71" s="242"/>
      <c r="AD71" s="242" t="str">
        <f>IF(Front!D39= "120 V, 60 Hz, 1 ph.","Maximum Circuit Breaker size (A)","")</f>
        <v/>
      </c>
      <c r="AE71" s="242"/>
      <c r="AF71" s="206"/>
      <c r="AG71" s="195"/>
    </row>
    <row r="72" spans="1:33" ht="18.75" customHeight="1">
      <c r="A72" s="88"/>
      <c r="B72" s="115"/>
      <c r="C72" s="212"/>
      <c r="D72" s="212"/>
      <c r="E72" s="208" t="str">
        <f>IFERROR(IF(VLOOKUP(VLOOKUP($C$69,Data!$B$3:$X$58,7,FALSE)&amp;"_"&amp;VLOOKUP($C$69,Data!$B$3:$X$58,3,FALSE)&amp;"_4",Airflow!$B$6:$N$25,3,FALSE)="","",VLOOKUP(VLOOKUP($C$69,Data!$B$3:$X$58,7,FALSE)&amp;"_"&amp;VLOOKUP($C$69,Data!$B$3:$X$58,3,FALSE)&amp;"_4",Airflow!$B$6:$N$25,3,FALSE)),"")</f>
        <v>4#,^</v>
      </c>
      <c r="F72" s="208">
        <f>IFERROR(IF(VLOOKUP(VLOOKUP($C$69,Data!$B$3:$X$58,7,FALSE)&amp;"_"&amp;VLOOKUP($C$69,Data!$B$3:$X$58,3,FALSE)&amp;"_4",Airflow!$B$6:$N$25,4,FALSE)="","",VLOOKUP(VLOOKUP($C$69,Data!$B$3:$X$58,7,FALSE)&amp;"_"&amp;VLOOKUP($C$69,Data!$B$3:$X$58,3,FALSE)&amp;"_4",Airflow!$B$6:$N$25,4,FALSE)),"")</f>
        <v>1343</v>
      </c>
      <c r="G72" s="208">
        <f>IFERROR(IF(VLOOKUP(VLOOKUP($C$69,Data!$B$3:$X$58,7,FALSE)&amp;"_"&amp;VLOOKUP($C$69,Data!$B$3:$X$58,3,FALSE)&amp;"_4",Airflow!$B$6:$N$25,5,FALSE)="","",VLOOKUP(VLOOKUP($C$69,Data!$B$3:$X$58,7,FALSE)&amp;"_"&amp;VLOOKUP($C$69,Data!$B$3:$X$58,3,FALSE)&amp;"_4",Airflow!$B$6:$N$25,5,FALSE)),"")</f>
        <v>1318</v>
      </c>
      <c r="H72" s="208">
        <f>IFERROR(IF(VLOOKUP(VLOOKUP($C$69,Data!$B$3:$X$58,7,FALSE)&amp;"_"&amp;VLOOKUP($C$69,Data!$B$3:$X$58,3,FALSE)&amp;"_4",Airflow!$B$6:$N$25,6,FALSE)="","",VLOOKUP(VLOOKUP($C$69,Data!$B$3:$X$58,7,FALSE)&amp;"_"&amp;VLOOKUP($C$69,Data!$B$3:$X$58,3,FALSE)&amp;"_4",Airflow!$B$6:$N$25,6,FALSE)),"")</f>
        <v>1281</v>
      </c>
      <c r="I72" s="208">
        <f>IFERROR(IF(VLOOKUP(VLOOKUP($C$69,Data!$B$3:$X$58,7,FALSE)&amp;"_"&amp;VLOOKUP($C$69,Data!$B$3:$X$58,3,FALSE)&amp;"_4",Airflow!$B$6:$N$25,7,FALSE)="","",VLOOKUP(VLOOKUP($C$69,Data!$B$3:$X$58,7,FALSE)&amp;"_"&amp;VLOOKUP($C$69,Data!$B$3:$X$58,3,FALSE)&amp;"_4",Airflow!$B$6:$N$25,7,FALSE)),"")</f>
        <v>1240</v>
      </c>
      <c r="J72" s="208">
        <f>IFERROR(IF(VLOOKUP(VLOOKUP($C$69,Data!$B$3:$X$58,7,FALSE)&amp;"_"&amp;VLOOKUP($C$69,Data!$B$3:$X$58,3,FALSE)&amp;"_4",Airflow!$B$6:$N$25,8,FALSE)="","",VLOOKUP(VLOOKUP($C$69,Data!$B$3:$X$58,7,FALSE)&amp;"_"&amp;VLOOKUP($C$69,Data!$B$3:$X$58,3,FALSE)&amp;"_4",Airflow!$B$6:$N$25,8,FALSE)),"")</f>
        <v>1196</v>
      </c>
      <c r="K72" s="208">
        <f>IFERROR(IF(VLOOKUP(VLOOKUP($C$69,Data!$B$3:$X$58,7,FALSE)&amp;"_"&amp;VLOOKUP($C$69,Data!$B$3:$X$58,3,FALSE)&amp;"_4",Airflow!$B$6:$N$25,9,FALSE)="","",VLOOKUP(VLOOKUP($C$69,Data!$B$3:$X$58,7,FALSE)&amp;"_"&amp;VLOOKUP($C$69,Data!$B$3:$X$58,3,FALSE)&amp;"_4",Airflow!$B$6:$N$25,9,FALSE)),"")</f>
        <v>1160</v>
      </c>
      <c r="L72" s="208">
        <f>IFERROR(IF(VLOOKUP(VLOOKUP($C$69,Data!$B$3:$X$58,7,FALSE)&amp;"_"&amp;VLOOKUP($C$69,Data!$B$3:$X$58,3,FALSE)&amp;"_4",Airflow!$B$6:$N$25,10,FALSE)="","",VLOOKUP(VLOOKUP($C$69,Data!$B$3:$X$58,7,FALSE)&amp;"_"&amp;VLOOKUP($C$69,Data!$B$3:$X$58,3,FALSE)&amp;"_4",Airflow!$B$6:$N$25,10,FALSE)),"")</f>
        <v>1106</v>
      </c>
      <c r="M72" s="208">
        <f>IFERROR(IF(VLOOKUP(VLOOKUP($C$69,Data!$B$3:$X$58,7,FALSE)&amp;"_"&amp;VLOOKUP($C$69,Data!$B$3:$X$58,3,FALSE)&amp;"_4",Airflow!$B$6:$N$25,11,FALSE)="","",VLOOKUP(VLOOKUP($C$69,Data!$B$3:$X$58,7,FALSE)&amp;"_"&amp;VLOOKUP($C$69,Data!$B$3:$X$58,3,FALSE)&amp;"_4",Airflow!$B$6:$N$25,11,FALSE)),"")</f>
        <v>1060</v>
      </c>
      <c r="N72" s="208">
        <f>IFERROR(IF(VLOOKUP(VLOOKUP($C$69,Data!$B$3:$X$58,7,FALSE)&amp;"_"&amp;VLOOKUP($C$69,Data!$B$3:$X$58,3,FALSE)&amp;"_4",Airflow!$B$6:$N$25,12,FALSE)="","",VLOOKUP(VLOOKUP($C$69,Data!$B$3:$X$58,7,FALSE)&amp;"_"&amp;VLOOKUP($C$69,Data!$B$3:$X$58,3,FALSE)&amp;"_4",Airflow!$B$6:$N$25,12,FALSE)),"")</f>
        <v>1014</v>
      </c>
      <c r="O72" s="208">
        <f>IFERROR(IF(VLOOKUP(VLOOKUP($C$69,Data!$B$3:$X$58,7,FALSE)&amp;"_"&amp;VLOOKUP($C$69,Data!$B$3:$X$58,3,FALSE)&amp;"_4",Airflow!$B$6:$N$25,13,FALSE)="","",VLOOKUP(VLOOKUP($C$69,Data!$B$3:$X$58,7,FALSE)&amp;"_"&amp;VLOOKUP($C$69,Data!$B$3:$X$58,3,FALSE)&amp;"_4",Airflow!$B$6:$N$25,13,FALSE)),"")</f>
        <v>1008</v>
      </c>
      <c r="P72" s="206"/>
      <c r="Q72" s="195"/>
      <c r="R72" s="207"/>
      <c r="S72" s="241"/>
      <c r="T72" s="241"/>
      <c r="U72" s="242"/>
      <c r="V72" s="211" t="str">
        <f>IF(Front!D39= "120 V, 60 Hz, 1 ph.","kW","")</f>
        <v/>
      </c>
      <c r="W72" s="211" t="str">
        <f>IF(Front!D39= "120 V, 60 Hz, 1 ph.","BTUH","")</f>
        <v/>
      </c>
      <c r="X72" s="242"/>
      <c r="Y72" s="242"/>
      <c r="Z72" s="242"/>
      <c r="AA72" s="242"/>
      <c r="AB72" s="242"/>
      <c r="AC72" s="242"/>
      <c r="AD72" s="242"/>
      <c r="AE72" s="242"/>
      <c r="AF72" s="206"/>
      <c r="AG72" s="195"/>
    </row>
    <row r="73" spans="1:33" ht="18.75" customHeight="1">
      <c r="A73" s="88"/>
      <c r="B73" s="115"/>
      <c r="C73" s="212"/>
      <c r="D73" s="212"/>
      <c r="E73" s="208" t="str">
        <f>IFERROR(IF(VLOOKUP(VLOOKUP($C$69,Data!$B$3:$X$58,7,FALSE)&amp;"_"&amp;VLOOKUP($C$69,Data!$B$3:$X$58,3,FALSE)&amp;"_5",Airflow!$B$6:$N$25,3,FALSE)="","",VLOOKUP(VLOOKUP($C$69,Data!$B$3:$X$58,7,FALSE)&amp;"_"&amp;VLOOKUP($C$69,Data!$B$3:$X$58,3,FALSE)&amp;"_5",Airflow!$B$6:$N$25,3,FALSE)),"")</f>
        <v>5*</v>
      </c>
      <c r="F73" s="208">
        <f>IFERROR(IF(VLOOKUP(VLOOKUP($C$69,Data!$B$3:$X$58,7,FALSE)&amp;"_"&amp;VLOOKUP($C$69,Data!$B$3:$X$58,3,FALSE)&amp;"_5",Airflow!$B$6:$N$25,4,FALSE)="","",VLOOKUP(VLOOKUP($C$69,Data!$B$3:$X$58,7,FALSE)&amp;"_"&amp;VLOOKUP($C$69,Data!$B$3:$X$58,3,FALSE)&amp;"_5",Airflow!$B$6:$N$25,4,FALSE)),"")</f>
        <v>1826</v>
      </c>
      <c r="G73" s="208">
        <f>IFERROR(IF(VLOOKUP(VLOOKUP($C$69,Data!$B$3:$X$58,7,FALSE)&amp;"_"&amp;VLOOKUP($C$69,Data!$B$3:$X$58,3,FALSE)&amp;"_5",Airflow!$B$6:$N$25,5,FALSE)="","",VLOOKUP(VLOOKUP($C$69,Data!$B$3:$X$58,7,FALSE)&amp;"_"&amp;VLOOKUP($C$69,Data!$B$3:$X$58,3,FALSE)&amp;"_5",Airflow!$B$6:$N$25,5,FALSE)),"")</f>
        <v>1799</v>
      </c>
      <c r="H73" s="208">
        <f>IFERROR(IF(VLOOKUP(VLOOKUP($C$69,Data!$B$3:$X$58,7,FALSE)&amp;"_"&amp;VLOOKUP($C$69,Data!$B$3:$X$58,3,FALSE)&amp;"_5",Airflow!$B$6:$N$25,6,FALSE)="","",VLOOKUP(VLOOKUP($C$69,Data!$B$3:$X$58,7,FALSE)&amp;"_"&amp;VLOOKUP($C$69,Data!$B$3:$X$58,3,FALSE)&amp;"_5",Airflow!$B$6:$N$25,6,FALSE)),"")</f>
        <v>1790</v>
      </c>
      <c r="I73" s="208">
        <f>IFERROR(IF(VLOOKUP(VLOOKUP($C$69,Data!$B$3:$X$58,7,FALSE)&amp;"_"&amp;VLOOKUP($C$69,Data!$B$3:$X$58,3,FALSE)&amp;"_5",Airflow!$B$6:$N$25,7,FALSE)="","",VLOOKUP(VLOOKUP($C$69,Data!$B$3:$X$58,7,FALSE)&amp;"_"&amp;VLOOKUP($C$69,Data!$B$3:$X$58,3,FALSE)&amp;"_5",Airflow!$B$6:$N$25,7,FALSE)),"")</f>
        <v>1761</v>
      </c>
      <c r="J73" s="208">
        <f>IFERROR(IF(VLOOKUP(VLOOKUP($C$69,Data!$B$3:$X$58,7,FALSE)&amp;"_"&amp;VLOOKUP($C$69,Data!$B$3:$X$58,3,FALSE)&amp;"_5",Airflow!$B$6:$N$25,8,FALSE)="","",VLOOKUP(VLOOKUP($C$69,Data!$B$3:$X$58,7,FALSE)&amp;"_"&amp;VLOOKUP($C$69,Data!$B$3:$X$58,3,FALSE)&amp;"_5",Airflow!$B$6:$N$25,8,FALSE)),"")</f>
        <v>1722</v>
      </c>
      <c r="K73" s="208">
        <f>IFERROR(IF(VLOOKUP(VLOOKUP($C$69,Data!$B$3:$X$58,7,FALSE)&amp;"_"&amp;VLOOKUP($C$69,Data!$B$3:$X$58,3,FALSE)&amp;"_5",Airflow!$B$6:$N$25,9,FALSE)="","",VLOOKUP(VLOOKUP($C$69,Data!$B$3:$X$58,7,FALSE)&amp;"_"&amp;VLOOKUP($C$69,Data!$B$3:$X$58,3,FALSE)&amp;"_5",Airflow!$B$6:$N$25,9,FALSE)),"")</f>
        <v>1677</v>
      </c>
      <c r="L73" s="208">
        <f>IFERROR(IF(VLOOKUP(VLOOKUP($C$69,Data!$B$3:$X$58,7,FALSE)&amp;"_"&amp;VLOOKUP($C$69,Data!$B$3:$X$58,3,FALSE)&amp;"_5",Airflow!$B$6:$N$25,10,FALSE)="","",VLOOKUP(VLOOKUP($C$69,Data!$B$3:$X$58,7,FALSE)&amp;"_"&amp;VLOOKUP($C$69,Data!$B$3:$X$58,3,FALSE)&amp;"_5",Airflow!$B$6:$N$25,10,FALSE)),"")</f>
        <v>1640</v>
      </c>
      <c r="M73" s="208">
        <f>IFERROR(IF(VLOOKUP(VLOOKUP($C$69,Data!$B$3:$X$58,7,FALSE)&amp;"_"&amp;VLOOKUP($C$69,Data!$B$3:$X$58,3,FALSE)&amp;"_5",Airflow!$B$6:$N$25,11,FALSE)="","",VLOOKUP(VLOOKUP($C$69,Data!$B$3:$X$58,7,FALSE)&amp;"_"&amp;VLOOKUP($C$69,Data!$B$3:$X$58,3,FALSE)&amp;"_5",Airflow!$B$6:$N$25,11,FALSE)),"")</f>
        <v>1594</v>
      </c>
      <c r="N73" s="208">
        <f>IFERROR(IF(VLOOKUP(VLOOKUP($C$69,Data!$B$3:$X$58,7,FALSE)&amp;"_"&amp;VLOOKUP($C$69,Data!$B$3:$X$58,3,FALSE)&amp;"_5",Airflow!$B$6:$N$25,12,FALSE)="","",VLOOKUP(VLOOKUP($C$69,Data!$B$3:$X$58,7,FALSE)&amp;"_"&amp;VLOOKUP($C$69,Data!$B$3:$X$58,3,FALSE)&amp;"_5",Airflow!$B$6:$N$25,12,FALSE)),"")</f>
        <v>1544</v>
      </c>
      <c r="O73" s="208">
        <f>IFERROR(IF(VLOOKUP(VLOOKUP($C$69,Data!$B$3:$X$58,7,FALSE)&amp;"_"&amp;VLOOKUP($C$69,Data!$B$3:$X$58,3,FALSE)&amp;"_5",Airflow!$B$6:$N$25,13,FALSE)="","",VLOOKUP(VLOOKUP($C$69,Data!$B$3:$X$58,7,FALSE)&amp;"_"&amp;VLOOKUP($C$69,Data!$B$3:$X$58,3,FALSE)&amp;"_5",Airflow!$B$6:$N$25,13,FALSE)),"")</f>
        <v>1494</v>
      </c>
      <c r="P73" s="206"/>
      <c r="Q73" s="195"/>
      <c r="R73" s="207"/>
      <c r="S73" s="241"/>
      <c r="T73" s="241"/>
      <c r="U73" s="242"/>
      <c r="V73" s="211" t="str">
        <f>IF(Front!D39="120 V, 60 Hz, 1 ph.","120 V","")</f>
        <v/>
      </c>
      <c r="W73" s="211" t="str">
        <f>IF(Front!D39= "120 V, 60 Hz, 1 ph.","120 V","")</f>
        <v/>
      </c>
      <c r="X73" s="241" t="str">
        <f>IF(Front!D39= "120 V, 60 Hz, 1 ph.","120 V","")</f>
        <v/>
      </c>
      <c r="Y73" s="241"/>
      <c r="Z73" s="241" t="str">
        <f>IF(Front!D39= "120 V, 60 Hz, 1 ph.","120 V","")</f>
        <v/>
      </c>
      <c r="AA73" s="241"/>
      <c r="AB73" s="241" t="str">
        <f>IF(Front!D39= "120 V, 60 Hz, 1 ph.","120 V","")</f>
        <v/>
      </c>
      <c r="AC73" s="241"/>
      <c r="AD73" s="241" t="str">
        <f>IF(Front!D39= "120 V, 60 Hz, 1 ph.","120 V","")</f>
        <v/>
      </c>
      <c r="AE73" s="241"/>
      <c r="AF73" s="206"/>
      <c r="AG73" s="195"/>
    </row>
    <row r="74" spans="1:33" ht="18.75" customHeight="1">
      <c r="A74" s="88"/>
      <c r="B74" s="115"/>
      <c r="C74" s="225"/>
      <c r="D74" s="226"/>
      <c r="E74" s="226"/>
      <c r="F74" s="226"/>
      <c r="G74" s="226"/>
      <c r="H74" s="226"/>
      <c r="I74" s="226"/>
      <c r="J74" s="226"/>
      <c r="K74" s="226"/>
      <c r="L74" s="226"/>
      <c r="M74" s="226"/>
      <c r="N74" s="226"/>
      <c r="O74" s="218"/>
      <c r="P74" s="206"/>
      <c r="Q74" s="213"/>
      <c r="R74" s="227"/>
      <c r="S74" s="205" t="str">
        <f>IF(Front!D39= "120 V, 60 Hz, 1 ph.",Front!D32,"")</f>
        <v/>
      </c>
      <c r="T74" s="208" t="str">
        <f>IFERROR(IF(VLOOKUP(VLOOKUP($S74,Data!$B$3:$X$58,10,FALSE)&amp;"_"&amp;VLOOKUP($S74,Data!$B$3:$X$58,7,FALSE)&amp;"_"&amp;VLOOKUP($S74,Data!$B$3:$X$58,9,FALSE)&amp;"_1",'Electrial data'!$C$7:P$10,3,FALSE)="","",VLOOKUP(VLOOKUP($S74,Data!$B$3:$X$58,10,FALSE)&amp;"_"&amp;VLOOKUP($S74,Data!$B$3:$X$58,7,FALSE)&amp;"_"&amp;VLOOKUP($S74,Data!$B$3:$X$58,9,FALSE)&amp;"_1",'Electrial data'!$C$7:$P$10,3,FALSE)),"")</f>
        <v/>
      </c>
      <c r="U74" s="208" t="str">
        <f>IFERROR(IF(VLOOKUP(VLOOKUP($S74,Data!$B$3:$X$58,10,FALSE)&amp;"_"&amp;VLOOKUP($S74,Data!$B$3:$X$58,7,FALSE)&amp;"_"&amp;VLOOKUP($S74,Data!$B$3:$X$58,9,FALSE)&amp;"_1",'Electrial data'!$C$7:Q$10,4,FALSE)="","",VLOOKUP(VLOOKUP($S74,Data!$B$3:$X$58,10,FALSE)&amp;"_"&amp;VLOOKUP($S74,Data!$B$3:$X$58,7,FALSE)&amp;"_"&amp;VLOOKUP($S74,Data!$B$3:$X$58,9,FALSE)&amp;"_1",'Electrial data'!$C$7:$P$10,4,FALSE)),"")</f>
        <v/>
      </c>
      <c r="V74" s="208" t="str">
        <f>IFERROR(IF(VLOOKUP(VLOOKUP($S74,Data!$B$3:$X$58,10,FALSE)&amp;"_"&amp;VLOOKUP($S74,Data!$B$3:$X$58,7,FALSE)&amp;"_"&amp;VLOOKUP($S74,Data!$B$3:$X$58,9,FALSE)&amp;"_1",'Electrial data'!$C$7:Q$10,5,FALSE)="","",VLOOKUP(VLOOKUP($S74,Data!$B$3:$X$58,10,FALSE)&amp;"_"&amp;VLOOKUP($S74,Data!$B$3:$X$58,7,FALSE)&amp;"_"&amp;VLOOKUP($S74,Data!$B$3:$X$58,9,FALSE)&amp;"_1",'Electrial data'!$C$7:$P$10,5,FALSE)),"")</f>
        <v/>
      </c>
      <c r="W74" s="208" t="str">
        <f>IFERROR(IF(VLOOKUP(VLOOKUP($S74,Data!$B$3:$X$58,10,FALSE)&amp;"_"&amp;VLOOKUP($S74,Data!$B$3:$X$58,7,FALSE)&amp;"_"&amp;VLOOKUP($S74,Data!$B$3:$X$58,9,FALSE)&amp;"_1",'Electrial data'!$C$7:Q$10,6,FALSE)="","",VLOOKUP(VLOOKUP($S74,Data!$B$3:$X$58,10,FALSE)&amp;"_"&amp;VLOOKUP($S74,Data!$B$3:$X$58,7,FALSE)&amp;"_"&amp;VLOOKUP($S74,Data!$B$3:$X$58,9,FALSE)&amp;"_1",'Electrial data'!$C$7:$P$10,6,FALSE)),"")</f>
        <v/>
      </c>
      <c r="X74" s="240" t="str">
        <f>IFERROR(IF(VLOOKUP(VLOOKUP($S74,Data!$B$3:$X$58,10,FALSE)&amp;"_"&amp;VLOOKUP($S74,Data!$B$3:$X$58,7,FALSE)&amp;"_"&amp;VLOOKUP($S74,Data!$B$3:$X$58,9,FALSE)&amp;"_1",'Electrial data'!$C$7:O$10,7,FALSE)="","",VLOOKUP(VLOOKUP($S74,Data!$B$3:$X$58,10,FALSE)&amp;"_"&amp;VLOOKUP($S74,Data!$B$3:$X$58,7,FALSE)&amp;"_"&amp;VLOOKUP($S74,Data!$B$3:$X$58,9,FALSE)&amp;"_1",'Electrial data'!$C$7:$P$10,7,FALSE)),"")</f>
        <v/>
      </c>
      <c r="Y74" s="240"/>
      <c r="Z74" s="240" t="str">
        <f>IFERROR(IF(VLOOKUP(VLOOKUP($S74,Data!$B$3:$X$58,10,FALSE)&amp;"_"&amp;VLOOKUP($S74,Data!$B$3:$X$58,7,FALSE)&amp;"_"&amp;VLOOKUP($S74,Data!$B$3:$X$58,9,FALSE)&amp;"_1",'Electrial data'!$C$7:Q$10,9,FALSE)="","",VLOOKUP(VLOOKUP($S74,Data!$B$3:$X$58,10,FALSE)&amp;"_"&amp;VLOOKUP($S74,Data!$B$3:$X$58,7,FALSE)&amp;"_"&amp;VLOOKUP($S74,Data!$B$3:$X$58,9,FALSE)&amp;"_1",'Electrial data'!$C$7:$P$10,9,FALSE)),"")</f>
        <v/>
      </c>
      <c r="AA74" s="240"/>
      <c r="AB74" s="240" t="str">
        <f>IFERROR(IF(VLOOKUP(VLOOKUP($S74,Data!$B$3:$X$58,10,FALSE)&amp;"_"&amp;VLOOKUP($S74,Data!$B$3:$X$58,7,FALSE)&amp;"_"&amp;VLOOKUP($S74,Data!$B$3:$X$58,9,FALSE)&amp;"_1",'Electrial data'!$C$7:Q$10,11,FALSE)="","",VLOOKUP(VLOOKUP($S74,Data!$B$3:$X$58,10,FALSE)&amp;"_"&amp;VLOOKUP($S74,Data!$B$3:$X$58,7,FALSE)&amp;"_"&amp;VLOOKUP($S74,Data!$B$3:$X$58,9,FALSE)&amp;"_1",'Electrial data'!$C$7:$P$10,11,FALSE)),"")</f>
        <v/>
      </c>
      <c r="AC74" s="240"/>
      <c r="AD74" s="240" t="str">
        <f>IFERROR(IF(VLOOKUP(VLOOKUP($S74,Data!$B$3:$X$58,10,FALSE)&amp;"_"&amp;VLOOKUP($S74,Data!$B$3:$X$58,7,FALSE)&amp;"_"&amp;VLOOKUP($S74,Data!$B$3:$X$58,9,FALSE)&amp;"_1",'Electrial data'!$C$7:S$10,13,FALSE)="","",VLOOKUP(VLOOKUP($S74,Data!$B$3:$X$58,10,FALSE)&amp;"_"&amp;VLOOKUP($S74,Data!$B$3:$X$58,7,FALSE)&amp;"_"&amp;VLOOKUP($S74,Data!$B$3:$X$58,9,FALSE)&amp;"_1",'Electrial data'!$C$7:$P$10,13,FALSE)),"")</f>
        <v/>
      </c>
      <c r="AE74" s="240"/>
      <c r="AF74" s="206"/>
      <c r="AG74" s="195"/>
    </row>
    <row r="75" spans="1:33" ht="18.75" customHeight="1">
      <c r="A75" s="88"/>
      <c r="B75" s="115"/>
      <c r="C75" s="194" t="s">
        <v>128</v>
      </c>
      <c r="D75" s="226"/>
      <c r="E75" s="226"/>
      <c r="F75" s="226"/>
      <c r="G75" s="226"/>
      <c r="H75" s="226"/>
      <c r="I75" s="226"/>
      <c r="J75" s="226"/>
      <c r="K75" s="226"/>
      <c r="L75" s="226"/>
      <c r="M75" s="226"/>
      <c r="N75" s="226"/>
      <c r="O75" s="218"/>
      <c r="P75" s="206"/>
      <c r="Q75" s="195"/>
      <c r="R75" s="207"/>
      <c r="S75" s="228"/>
      <c r="T75" s="214"/>
      <c r="U75" s="214"/>
      <c r="V75" s="214"/>
      <c r="W75" s="214"/>
      <c r="X75" s="214"/>
      <c r="Y75" s="214"/>
      <c r="Z75" s="214"/>
      <c r="AA75" s="214"/>
      <c r="AB75" s="214"/>
      <c r="AC75" s="214"/>
      <c r="AD75" s="214"/>
      <c r="AE75" s="214"/>
      <c r="AF75" s="206"/>
      <c r="AG75" s="195"/>
    </row>
    <row r="76" spans="1:33" ht="18.75" customHeight="1">
      <c r="A76" s="88"/>
      <c r="B76" s="115"/>
      <c r="C76" s="108" t="s">
        <v>129</v>
      </c>
      <c r="D76" s="218"/>
      <c r="E76" s="218"/>
      <c r="F76" s="218"/>
      <c r="G76" s="218"/>
      <c r="H76" s="218"/>
      <c r="I76" s="218"/>
      <c r="J76" s="218"/>
      <c r="K76" s="218"/>
      <c r="L76" s="218"/>
      <c r="M76" s="218"/>
      <c r="N76" s="218"/>
      <c r="O76" s="218"/>
      <c r="P76" s="206"/>
      <c r="Q76" s="195"/>
      <c r="R76" s="207"/>
      <c r="S76" s="241" t="str">
        <f>IF(Front!E39= "120 V, 60 Hz, 1 ph.","Unit Size","")</f>
        <v/>
      </c>
      <c r="T76" s="241" t="str">
        <f>IF(Front!E39= "120 V, 60 Hz, 1 ph.","Circuit","")</f>
        <v/>
      </c>
      <c r="U76" s="242" t="str">
        <f>IF(Front!E39= "120 V, 60 Hz, 1 ph.","Total Heat Capacity","")</f>
        <v/>
      </c>
      <c r="V76" s="241" t="str">
        <f>IF(Front!E39= "120 V, 60 Hz, 1 ph.","Electric Heating capacity","")</f>
        <v/>
      </c>
      <c r="W76" s="241"/>
      <c r="X76" s="242" t="str">
        <f>IF(Front!E39= "120 V, 60 Hz, 1 ph.","Blower Amps (A)","")</f>
        <v/>
      </c>
      <c r="Y76" s="242"/>
      <c r="Z76" s="242" t="str">
        <f>IF(Front!E39= "120 V, 60 Hz, 1 ph.","Total Current (A)","")</f>
        <v/>
      </c>
      <c r="AA76" s="242"/>
      <c r="AB76" s="242" t="str">
        <f>IF(Front!E39= "120 V, 60 Hz, 1 ph.","Minimum Circuit Ampacity (A)","")</f>
        <v/>
      </c>
      <c r="AC76" s="242"/>
      <c r="AD76" s="242" t="str">
        <f>IF(Front!E39= "120 V, 60 Hz, 1 ph.","Maximum Circuit Breaker size (A)","")</f>
        <v/>
      </c>
      <c r="AE76" s="242"/>
      <c r="AF76" s="206"/>
      <c r="AG76" s="195"/>
    </row>
    <row r="77" spans="1:33" ht="18.75" customHeight="1">
      <c r="A77" s="88"/>
      <c r="B77" s="115"/>
      <c r="C77" s="108" t="s">
        <v>130</v>
      </c>
      <c r="D77" s="218"/>
      <c r="E77" s="218"/>
      <c r="F77" s="218"/>
      <c r="G77" s="218"/>
      <c r="H77" s="218"/>
      <c r="I77" s="218"/>
      <c r="J77" s="218"/>
      <c r="K77" s="218"/>
      <c r="L77" s="218"/>
      <c r="M77" s="218"/>
      <c r="N77" s="218"/>
      <c r="O77" s="218"/>
      <c r="P77" s="206"/>
      <c r="Q77" s="195"/>
      <c r="R77" s="207"/>
      <c r="S77" s="241"/>
      <c r="T77" s="241"/>
      <c r="U77" s="242"/>
      <c r="V77" s="211" t="str">
        <f>IF(Front!E39= "120 V, 60 Hz, 1 ph.","kW","")</f>
        <v/>
      </c>
      <c r="W77" s="211" t="str">
        <f>IF(Front!E39= "120 V, 60 Hz, 1 ph.","BTUH","")</f>
        <v/>
      </c>
      <c r="X77" s="242"/>
      <c r="Y77" s="242"/>
      <c r="Z77" s="242"/>
      <c r="AA77" s="242"/>
      <c r="AB77" s="242"/>
      <c r="AC77" s="242"/>
      <c r="AD77" s="242"/>
      <c r="AE77" s="242"/>
      <c r="AF77" s="206"/>
      <c r="AG77" s="195"/>
    </row>
    <row r="78" spans="1:33" ht="18.75" customHeight="1">
      <c r="A78" s="88"/>
      <c r="B78" s="115"/>
      <c r="C78" s="108" t="s">
        <v>131</v>
      </c>
      <c r="D78" s="218"/>
      <c r="E78" s="218"/>
      <c r="F78" s="218"/>
      <c r="G78" s="218"/>
      <c r="H78" s="218"/>
      <c r="I78" s="218"/>
      <c r="J78" s="218"/>
      <c r="K78" s="218"/>
      <c r="L78" s="218"/>
      <c r="M78" s="218"/>
      <c r="N78" s="218"/>
      <c r="O78" s="218"/>
      <c r="P78" s="206"/>
      <c r="Q78" s="195"/>
      <c r="R78" s="207"/>
      <c r="S78" s="241"/>
      <c r="T78" s="241"/>
      <c r="U78" s="242"/>
      <c r="V78" s="211" t="str">
        <f>IF(Front!E39="120 V, 60 Hz, 1 ph.","120 V","")</f>
        <v/>
      </c>
      <c r="W78" s="211" t="str">
        <f>IF(Front!E39= "120 V, 60 Hz, 1 ph.","120 V","")</f>
        <v/>
      </c>
      <c r="X78" s="241" t="str">
        <f>IF(Front!E39= "120 V, 60 Hz, 1 ph.","120 V","")</f>
        <v/>
      </c>
      <c r="Y78" s="241"/>
      <c r="Z78" s="241" t="str">
        <f>IF(Front!E39= "120 V, 60 Hz, 1 ph.","120 V","")</f>
        <v/>
      </c>
      <c r="AA78" s="241"/>
      <c r="AB78" s="241" t="str">
        <f>IF(Front!E39= "120 V, 60 Hz, 1 ph.","120 V","")</f>
        <v/>
      </c>
      <c r="AC78" s="241"/>
      <c r="AD78" s="241" t="str">
        <f>IF(Front!E39= "120 V, 60 Hz, 1 ph.","120 V","")</f>
        <v/>
      </c>
      <c r="AE78" s="241"/>
      <c r="AF78" s="206"/>
      <c r="AG78" s="195"/>
    </row>
    <row r="79" spans="1:33" ht="18.75" customHeight="1">
      <c r="A79" s="35"/>
      <c r="B79" s="197"/>
      <c r="C79" s="108" t="s">
        <v>132</v>
      </c>
      <c r="D79" s="196"/>
      <c r="E79" s="196"/>
      <c r="F79" s="196"/>
      <c r="G79" s="196"/>
      <c r="H79" s="196"/>
      <c r="I79" s="196"/>
      <c r="J79" s="196"/>
      <c r="K79" s="218"/>
      <c r="L79" s="218"/>
      <c r="M79" s="218"/>
      <c r="N79" s="218"/>
      <c r="O79" s="218"/>
      <c r="P79" s="206"/>
      <c r="Q79" s="195"/>
      <c r="R79" s="207"/>
      <c r="S79" s="205" t="str">
        <f>IF(Front!E39= "120 V, 60 Hz, 1 ph.",Front!E32,"")</f>
        <v/>
      </c>
      <c r="T79" s="208" t="str">
        <f>IFERROR(IF(VLOOKUP(VLOOKUP($S79,Data!$B$3:$X$58,10,FALSE)&amp;"_"&amp;VLOOKUP($S79,Data!$B$3:$X$58,7,FALSE)&amp;"_"&amp;VLOOKUP($S79,Data!$B$3:$X$58,9,FALSE)&amp;"_1",'Electrial data'!$C$7:P$10,3,FALSE)="","",VLOOKUP(VLOOKUP($S79,Data!$B$3:$X$58,10,FALSE)&amp;"_"&amp;VLOOKUP($S79,Data!$B$3:$X$58,7,FALSE)&amp;"_"&amp;VLOOKUP($S79,Data!$B$3:$X$58,9,FALSE)&amp;"_1",'Electrial data'!$C$7:$P$10,3,FALSE)),"")</f>
        <v/>
      </c>
      <c r="U79" s="208" t="str">
        <f>IFERROR(IF(VLOOKUP(VLOOKUP($S79,Data!$B$3:$X$58,10,FALSE)&amp;"_"&amp;VLOOKUP($S79,Data!$B$3:$X$58,7,FALSE)&amp;"_"&amp;VLOOKUP($S79,Data!$B$3:$X$58,9,FALSE)&amp;"_1",'Electrial data'!$C$7:Q$10,4,FALSE)="","",VLOOKUP(VLOOKUP($S79,Data!$B$3:$X$58,10,FALSE)&amp;"_"&amp;VLOOKUP($S79,Data!$B$3:$X$58,7,FALSE)&amp;"_"&amp;VLOOKUP($S79,Data!$B$3:$X$58,9,FALSE)&amp;"_1",'Electrial data'!$C$7:$P$10,4,FALSE)),"")</f>
        <v/>
      </c>
      <c r="V79" s="208" t="str">
        <f>IFERROR(IF(VLOOKUP(VLOOKUP($S79,Data!$B$3:$X$58,10,FALSE)&amp;"_"&amp;VLOOKUP($S79,Data!$B$3:$X$58,7,FALSE)&amp;"_"&amp;VLOOKUP($S79,Data!$B$3:$X$58,9,FALSE)&amp;"_1",'Electrial data'!$C$7:Q$10,5,FALSE)="","",VLOOKUP(VLOOKUP($S79,Data!$B$3:$X$58,10,FALSE)&amp;"_"&amp;VLOOKUP($S79,Data!$B$3:$X$58,7,FALSE)&amp;"_"&amp;VLOOKUP($S79,Data!$B$3:$X$58,9,FALSE)&amp;"_1",'Electrial data'!$C$7:$P$10,5,FALSE)),"")</f>
        <v/>
      </c>
      <c r="W79" s="208" t="str">
        <f>IFERROR(IF(VLOOKUP(VLOOKUP($S79,Data!$B$3:$X$58,10,FALSE)&amp;"_"&amp;VLOOKUP($S79,Data!$B$3:$X$58,7,FALSE)&amp;"_"&amp;VLOOKUP($S79,Data!$B$3:$X$58,9,FALSE)&amp;"_1",'Electrial data'!$C$7:Q$10,6,FALSE)="","",VLOOKUP(VLOOKUP($S79,Data!$B$3:$X$58,10,FALSE)&amp;"_"&amp;VLOOKUP($S79,Data!$B$3:$X$58,7,FALSE)&amp;"_"&amp;VLOOKUP($S79,Data!$B$3:$X$58,9,FALSE)&amp;"_1",'Electrial data'!$C$7:$P$10,6,FALSE)),"")</f>
        <v/>
      </c>
      <c r="X79" s="240" t="str">
        <f>IFERROR(IF(VLOOKUP(VLOOKUP($S79,Data!$B$3:$X$58,10,FALSE)&amp;"_"&amp;VLOOKUP($S79,Data!$B$3:$X$58,7,FALSE)&amp;"_"&amp;VLOOKUP($S79,Data!$B$3:$X$58,9,FALSE)&amp;"_1",'Electrial data'!$C$7:O$10,7,FALSE)="","",VLOOKUP(VLOOKUP($S79,Data!$B$3:$X$58,10,FALSE)&amp;"_"&amp;VLOOKUP($S79,Data!$B$3:$X$58,7,FALSE)&amp;"_"&amp;VLOOKUP($S79,Data!$B$3:$X$58,9,FALSE)&amp;"_1",'Electrial data'!$C$7:$P$10,7,FALSE)),"")</f>
        <v/>
      </c>
      <c r="Y79" s="240"/>
      <c r="Z79" s="240" t="str">
        <f>IFERROR(IF(VLOOKUP(VLOOKUP($S79,Data!$B$3:$X$58,10,FALSE)&amp;"_"&amp;VLOOKUP($S79,Data!$B$3:$X$58,7,FALSE)&amp;"_"&amp;VLOOKUP($S79,Data!$B$3:$X$58,9,FALSE)&amp;"_1",'Electrial data'!$C$7:Q$10,9,FALSE)="","",VLOOKUP(VLOOKUP($S79,Data!$B$3:$X$58,10,FALSE)&amp;"_"&amp;VLOOKUP($S79,Data!$B$3:$X$58,7,FALSE)&amp;"_"&amp;VLOOKUP($S79,Data!$B$3:$X$58,9,FALSE)&amp;"_1",'Electrial data'!$C$7:$P$10,9,FALSE)),"")</f>
        <v/>
      </c>
      <c r="AA79" s="240"/>
      <c r="AB79" s="240" t="str">
        <f>IFERROR(IF(VLOOKUP(VLOOKUP($S79,Data!$B$3:$X$58,10,FALSE)&amp;"_"&amp;VLOOKUP($S79,Data!$B$3:$X$58,7,FALSE)&amp;"_"&amp;VLOOKUP($S79,Data!$B$3:$X$58,9,FALSE)&amp;"_1",'Electrial data'!$C$7:Q$10,11,FALSE)="","",VLOOKUP(VLOOKUP($S79,Data!$B$3:$X$58,10,FALSE)&amp;"_"&amp;VLOOKUP($S79,Data!$B$3:$X$58,7,FALSE)&amp;"_"&amp;VLOOKUP($S79,Data!$B$3:$X$58,9,FALSE)&amp;"_1",'Electrial data'!$C$7:$P$10,11,FALSE)),"")</f>
        <v/>
      </c>
      <c r="AC79" s="240"/>
      <c r="AD79" s="240" t="str">
        <f>IFERROR(IF(VLOOKUP(VLOOKUP($S79,Data!$B$3:$X$58,10,FALSE)&amp;"_"&amp;VLOOKUP($S79,Data!$B$3:$X$58,7,FALSE)&amp;"_"&amp;VLOOKUP($S79,Data!$B$3:$X$58,9,FALSE)&amp;"_1",'Electrial data'!$C$7:S$10,13,FALSE)="","",VLOOKUP(VLOOKUP($S79,Data!$B$3:$X$58,10,FALSE)&amp;"_"&amp;VLOOKUP($S79,Data!$B$3:$X$58,7,FALSE)&amp;"_"&amp;VLOOKUP($S79,Data!$B$3:$X$58,9,FALSE)&amp;"_1",'Electrial data'!$C$7:$P$10,13,FALSE)),"")</f>
        <v/>
      </c>
      <c r="AE79" s="240"/>
      <c r="AF79" s="206"/>
      <c r="AG79" s="195"/>
    </row>
    <row r="80" spans="1:33" ht="18.75" customHeight="1">
      <c r="A80" s="35"/>
      <c r="B80" s="198"/>
      <c r="C80" s="199" t="s">
        <v>133</v>
      </c>
      <c r="D80" s="200"/>
      <c r="E80" s="200"/>
      <c r="F80" s="200"/>
      <c r="G80" s="200"/>
      <c r="H80" s="200"/>
      <c r="I80" s="200"/>
      <c r="J80" s="200"/>
      <c r="K80" s="229"/>
      <c r="L80" s="229"/>
      <c r="M80" s="229"/>
      <c r="N80" s="229"/>
      <c r="O80" s="229"/>
      <c r="P80" s="230"/>
      <c r="Q80" s="195"/>
      <c r="R80" s="207"/>
      <c r="S80" s="218"/>
      <c r="T80" s="231"/>
      <c r="U80" s="231"/>
      <c r="V80" s="231"/>
      <c r="W80" s="231"/>
      <c r="X80" s="231"/>
      <c r="Y80" s="231"/>
      <c r="Z80" s="231"/>
      <c r="AA80" s="231"/>
      <c r="AB80" s="231"/>
      <c r="AC80" s="231"/>
      <c r="AD80" s="231"/>
      <c r="AE80" s="231"/>
      <c r="AF80" s="206"/>
      <c r="AG80" s="195"/>
    </row>
    <row r="81" spans="1:33" ht="18.75" customHeight="1">
      <c r="A81" s="35"/>
      <c r="B81" s="35"/>
      <c r="C81" s="36"/>
      <c r="D81" s="36"/>
      <c r="E81" s="36"/>
      <c r="F81" s="36"/>
      <c r="G81" s="36"/>
      <c r="H81" s="36"/>
      <c r="I81" s="36"/>
      <c r="J81" s="36"/>
      <c r="K81" s="195"/>
      <c r="L81" s="195"/>
      <c r="M81" s="195"/>
      <c r="N81" s="195"/>
      <c r="O81" s="195"/>
      <c r="P81" s="195"/>
      <c r="Q81" s="195"/>
      <c r="R81" s="207"/>
      <c r="S81" s="241" t="str">
        <f>IF(Front!F39= "120 V, 60 Hz, 1 ph.","Unit Size","")</f>
        <v/>
      </c>
      <c r="T81" s="241" t="str">
        <f>IF(Front!F39= "120 V, 60 Hz, 1 ph.","Circuit","")</f>
        <v/>
      </c>
      <c r="U81" s="242" t="str">
        <f>IF(Front!F39= "120 V, 60 Hz, 1 ph.","Total Heat Capacity","")</f>
        <v/>
      </c>
      <c r="V81" s="241" t="str">
        <f>IF(Front!F39= "120 V, 60 Hz, 1 ph.","Electric Heating capacity","")</f>
        <v/>
      </c>
      <c r="W81" s="241"/>
      <c r="X81" s="242" t="str">
        <f>IF(Front!F39= "120 V, 60 Hz, 1 ph.","Blower Amps (A)","")</f>
        <v/>
      </c>
      <c r="Y81" s="242"/>
      <c r="Z81" s="242" t="str">
        <f>IF(Front!F39= "120 V, 60 Hz, 1 ph.","Total Current (A)","")</f>
        <v/>
      </c>
      <c r="AA81" s="242"/>
      <c r="AB81" s="242" t="str">
        <f>IF(Front!F39= "120 V, 60 Hz, 1 ph.","Minimum Circuit Ampacity (A)","")</f>
        <v/>
      </c>
      <c r="AC81" s="242"/>
      <c r="AD81" s="242" t="str">
        <f>IF(Front!F39= "120 V, 60 Hz, 1 ph.","Maximum Circuit Breaker size (A)","")</f>
        <v/>
      </c>
      <c r="AE81" s="242"/>
      <c r="AF81" s="206"/>
      <c r="AG81" s="195"/>
    </row>
    <row r="82" spans="1:33" ht="18.75" customHeight="1">
      <c r="A82" s="35"/>
      <c r="B82" s="35"/>
      <c r="C82" s="36"/>
      <c r="D82" s="36"/>
      <c r="E82" s="36"/>
      <c r="F82" s="36"/>
      <c r="G82" s="36"/>
      <c r="H82" s="36"/>
      <c r="I82" s="36"/>
      <c r="J82" s="36"/>
      <c r="K82" s="195"/>
      <c r="L82" s="195"/>
      <c r="M82" s="195"/>
      <c r="N82" s="195"/>
      <c r="O82" s="195"/>
      <c r="P82" s="195"/>
      <c r="Q82" s="195"/>
      <c r="R82" s="207"/>
      <c r="S82" s="241"/>
      <c r="T82" s="241"/>
      <c r="U82" s="242"/>
      <c r="V82" s="211" t="str">
        <f>IF(Front!F39= "120 V, 60 Hz, 1 ph.","kW","")</f>
        <v/>
      </c>
      <c r="W82" s="211" t="str">
        <f>IF(Front!F39= "120 V, 60 Hz, 1 ph.","BTUH","")</f>
        <v/>
      </c>
      <c r="X82" s="242"/>
      <c r="Y82" s="242"/>
      <c r="Z82" s="242"/>
      <c r="AA82" s="242"/>
      <c r="AB82" s="242"/>
      <c r="AC82" s="242"/>
      <c r="AD82" s="242"/>
      <c r="AE82" s="242"/>
      <c r="AF82" s="206"/>
      <c r="AG82" s="195"/>
    </row>
    <row r="83" spans="1:33" ht="18.75" customHeight="1">
      <c r="C83" s="195"/>
      <c r="D83" s="195"/>
      <c r="E83" s="195"/>
      <c r="F83" s="195"/>
      <c r="G83" s="195"/>
      <c r="H83" s="195"/>
      <c r="I83" s="195"/>
      <c r="J83" s="195"/>
      <c r="K83" s="195"/>
      <c r="L83" s="195"/>
      <c r="M83" s="195"/>
      <c r="N83" s="195"/>
      <c r="O83" s="195"/>
      <c r="P83" s="195"/>
      <c r="Q83" s="195"/>
      <c r="R83" s="207"/>
      <c r="S83" s="241"/>
      <c r="T83" s="241"/>
      <c r="U83" s="242"/>
      <c r="V83" s="211" t="str">
        <f>IF(Front!F39="120 V, 60 Hz, 1 ph.","120 V","")</f>
        <v/>
      </c>
      <c r="W83" s="211" t="str">
        <f>IF(Front!F39= "120 V, 60 Hz, 1 ph.","120 V","")</f>
        <v/>
      </c>
      <c r="X83" s="241" t="str">
        <f>IF(Front!F39= "120 V, 60 Hz, 1 ph.","120 V","")</f>
        <v/>
      </c>
      <c r="Y83" s="241"/>
      <c r="Z83" s="241" t="str">
        <f>IF(Front!F39= "120 V, 60 Hz, 1 ph.","120 V","")</f>
        <v/>
      </c>
      <c r="AA83" s="241"/>
      <c r="AB83" s="241" t="str">
        <f>IF(Front!F39= "120 V, 60 Hz, 1 ph.","120 V","")</f>
        <v/>
      </c>
      <c r="AC83" s="241"/>
      <c r="AD83" s="241" t="str">
        <f>IF(Front!F39= "120 V, 60 Hz, 1 ph.","120 V","")</f>
        <v/>
      </c>
      <c r="AE83" s="241"/>
      <c r="AF83" s="206"/>
      <c r="AG83" s="195"/>
    </row>
    <row r="84" spans="1:33" ht="18.75" customHeight="1">
      <c r="C84" s="195"/>
      <c r="D84" s="195"/>
      <c r="E84" s="195"/>
      <c r="F84" s="195"/>
      <c r="G84" s="195"/>
      <c r="H84" s="195"/>
      <c r="I84" s="195"/>
      <c r="J84" s="195"/>
      <c r="K84" s="195"/>
      <c r="L84" s="195"/>
      <c r="M84" s="195"/>
      <c r="N84" s="195"/>
      <c r="O84" s="195"/>
      <c r="P84" s="195"/>
      <c r="Q84" s="195"/>
      <c r="R84" s="207"/>
      <c r="S84" s="205" t="str">
        <f>IF(Front!F39= "120 V, 60 Hz, 1 ph.",Front!F32,"")</f>
        <v/>
      </c>
      <c r="T84" s="208" t="str">
        <f>IFERROR(IF(VLOOKUP(VLOOKUP($S84,Data!$B$3:$X$58,10,FALSE)&amp;"_"&amp;VLOOKUP($S84,Data!$B$3:$X$58,7,FALSE)&amp;"_"&amp;VLOOKUP($S84,Data!$B$3:$X$58,9,FALSE)&amp;"_1",'Electrial data'!$C$7:P$10,3,FALSE)="","",VLOOKUP(VLOOKUP($S84,Data!$B$3:$X$58,10,FALSE)&amp;"_"&amp;VLOOKUP($S84,Data!$B$3:$X$58,7,FALSE)&amp;"_"&amp;VLOOKUP($S84,Data!$B$3:$X$58,9,FALSE)&amp;"_1",'Electrial data'!$C$7:$P$10,3,FALSE)),"")</f>
        <v/>
      </c>
      <c r="U84" s="208" t="str">
        <f>IFERROR(IF(VLOOKUP(VLOOKUP($S84,Data!$B$3:$X$58,10,FALSE)&amp;"_"&amp;VLOOKUP($S84,Data!$B$3:$X$58,7,FALSE)&amp;"_"&amp;VLOOKUP($S84,Data!$B$3:$X$58,9,FALSE)&amp;"_1",'Electrial data'!$C$7:Q$10,4,FALSE)="","",VLOOKUP(VLOOKUP($S84,Data!$B$3:$X$58,10,FALSE)&amp;"_"&amp;VLOOKUP($S84,Data!$B$3:$X$58,7,FALSE)&amp;"_"&amp;VLOOKUP($S84,Data!$B$3:$X$58,9,FALSE)&amp;"_1",'Electrial data'!$C$7:$P$10,4,FALSE)),"")</f>
        <v/>
      </c>
      <c r="V84" s="208" t="str">
        <f>IFERROR(IF(VLOOKUP(VLOOKUP($S84,Data!$B$3:$X$58,10,FALSE)&amp;"_"&amp;VLOOKUP($S84,Data!$B$3:$X$58,7,FALSE)&amp;"_"&amp;VLOOKUP($S84,Data!$B$3:$X$58,9,FALSE)&amp;"_1",'Electrial data'!$C$7:Q$10,5,FALSE)="","",VLOOKUP(VLOOKUP($S84,Data!$B$3:$X$58,10,FALSE)&amp;"_"&amp;VLOOKUP($S84,Data!$B$3:$X$58,7,FALSE)&amp;"_"&amp;VLOOKUP($S84,Data!$B$3:$X$58,9,FALSE)&amp;"_1",'Electrial data'!$C$7:$P$10,5,FALSE)),"")</f>
        <v/>
      </c>
      <c r="W84" s="208" t="str">
        <f>IFERROR(IF(VLOOKUP(VLOOKUP($S84,Data!$B$3:$X$58,10,FALSE)&amp;"_"&amp;VLOOKUP($S84,Data!$B$3:$X$58,7,FALSE)&amp;"_"&amp;VLOOKUP($S84,Data!$B$3:$X$58,9,FALSE)&amp;"_1",'Electrial data'!$C$7:Q$10,6,FALSE)="","",VLOOKUP(VLOOKUP($S84,Data!$B$3:$X$58,10,FALSE)&amp;"_"&amp;VLOOKUP($S84,Data!$B$3:$X$58,7,FALSE)&amp;"_"&amp;VLOOKUP($S84,Data!$B$3:$X$58,9,FALSE)&amp;"_1",'Electrial data'!$C$7:$P$10,6,FALSE)),"")</f>
        <v/>
      </c>
      <c r="X84" s="240" t="str">
        <f>IFERROR(IF(VLOOKUP(VLOOKUP($S84,Data!$B$3:$X$58,10,FALSE)&amp;"_"&amp;VLOOKUP($S84,Data!$B$3:$X$58,7,FALSE)&amp;"_"&amp;VLOOKUP($S84,Data!$B$3:$X$58,9,FALSE)&amp;"_1",'Electrial data'!$C$7:O$10,7,FALSE)="","",VLOOKUP(VLOOKUP($S84,Data!$B$3:$X$58,10,FALSE)&amp;"_"&amp;VLOOKUP($S84,Data!$B$3:$X$58,7,FALSE)&amp;"_"&amp;VLOOKUP($S84,Data!$B$3:$X$58,9,FALSE)&amp;"_1",'Electrial data'!$C$7:$P$10,7,FALSE)),"")</f>
        <v/>
      </c>
      <c r="Y84" s="240"/>
      <c r="Z84" s="240" t="str">
        <f>IFERROR(IF(VLOOKUP(VLOOKUP($S84,Data!$B$3:$X$58,10,FALSE)&amp;"_"&amp;VLOOKUP($S84,Data!$B$3:$X$58,7,FALSE)&amp;"_"&amp;VLOOKUP($S84,Data!$B$3:$X$58,9,FALSE)&amp;"_1",'Electrial data'!$C$7:Q$10,9,FALSE)="","",VLOOKUP(VLOOKUP($S84,Data!$B$3:$X$58,10,FALSE)&amp;"_"&amp;VLOOKUP($S84,Data!$B$3:$X$58,7,FALSE)&amp;"_"&amp;VLOOKUP($S84,Data!$B$3:$X$58,9,FALSE)&amp;"_1",'Electrial data'!$C$7:$P$10,9,FALSE)),"")</f>
        <v/>
      </c>
      <c r="AA84" s="240"/>
      <c r="AB84" s="240" t="str">
        <f>IFERROR(IF(VLOOKUP(VLOOKUP($S84,Data!$B$3:$X$58,10,FALSE)&amp;"_"&amp;VLOOKUP($S84,Data!$B$3:$X$58,7,FALSE)&amp;"_"&amp;VLOOKUP($S84,Data!$B$3:$X$58,9,FALSE)&amp;"_1",'Electrial data'!$C$7:Q$10,11,FALSE)="","",VLOOKUP(VLOOKUP($S84,Data!$B$3:$X$58,10,FALSE)&amp;"_"&amp;VLOOKUP($S84,Data!$B$3:$X$58,7,FALSE)&amp;"_"&amp;VLOOKUP($S84,Data!$B$3:$X$58,9,FALSE)&amp;"_1",'Electrial data'!$C$7:$P$10,11,FALSE)),"")</f>
        <v/>
      </c>
      <c r="AC84" s="240"/>
      <c r="AD84" s="240" t="str">
        <f>IFERROR(IF(VLOOKUP(VLOOKUP($S84,Data!$B$3:$X$58,10,FALSE)&amp;"_"&amp;VLOOKUP($S84,Data!$B$3:$X$58,7,FALSE)&amp;"_"&amp;VLOOKUP($S84,Data!$B$3:$X$58,9,FALSE)&amp;"_1",'Electrial data'!$C$7:S$10,13,FALSE)="","",VLOOKUP(VLOOKUP($S84,Data!$B$3:$X$58,10,FALSE)&amp;"_"&amp;VLOOKUP($S84,Data!$B$3:$X$58,7,FALSE)&amp;"_"&amp;VLOOKUP($S84,Data!$B$3:$X$58,9,FALSE)&amp;"_1",'Electrial data'!$C$7:$P$10,13,FALSE)),"")</f>
        <v/>
      </c>
      <c r="AE84" s="240"/>
      <c r="AF84" s="206"/>
      <c r="AG84" s="195"/>
    </row>
    <row r="85" spans="1:33" ht="18.75" customHeight="1">
      <c r="C85" s="195"/>
      <c r="D85" s="195"/>
      <c r="E85" s="195"/>
      <c r="F85" s="195"/>
      <c r="G85" s="195"/>
      <c r="H85" s="195"/>
      <c r="I85" s="195"/>
      <c r="J85" s="195"/>
      <c r="K85" s="195"/>
      <c r="L85" s="195"/>
      <c r="M85" s="195"/>
      <c r="N85" s="195"/>
      <c r="O85" s="195"/>
      <c r="P85" s="195"/>
      <c r="Q85" s="195"/>
      <c r="R85" s="207"/>
      <c r="S85" s="218"/>
      <c r="T85" s="231"/>
      <c r="U85" s="231"/>
      <c r="V85" s="231"/>
      <c r="W85" s="231"/>
      <c r="X85" s="231"/>
      <c r="Y85" s="231"/>
      <c r="Z85" s="231"/>
      <c r="AA85" s="231"/>
      <c r="AB85" s="231"/>
      <c r="AC85" s="231"/>
      <c r="AD85" s="231"/>
      <c r="AE85" s="231"/>
      <c r="AF85" s="206"/>
      <c r="AG85" s="195"/>
    </row>
    <row r="86" spans="1:33" ht="18.75" customHeight="1">
      <c r="C86" s="195"/>
      <c r="D86" s="195"/>
      <c r="E86" s="195"/>
      <c r="F86" s="195"/>
      <c r="G86" s="195"/>
      <c r="H86" s="195"/>
      <c r="I86" s="195"/>
      <c r="J86" s="195"/>
      <c r="K86" s="195"/>
      <c r="L86" s="195"/>
      <c r="M86" s="195"/>
      <c r="N86" s="195"/>
      <c r="O86" s="195"/>
      <c r="P86" s="195"/>
      <c r="Q86" s="195"/>
      <c r="R86" s="207"/>
      <c r="S86" s="241" t="str">
        <f>IF(Front!G39= "120 V, 60 Hz, 1 ph.","Unit Size","")</f>
        <v/>
      </c>
      <c r="T86" s="241" t="str">
        <f>IF(Front!G39= "120 V, 60 Hz, 1 ph.","Circuit","")</f>
        <v/>
      </c>
      <c r="U86" s="242" t="str">
        <f>IF(Front!G39= "120 V, 60 Hz, 1 ph.","Total Heat Capacity","")</f>
        <v/>
      </c>
      <c r="V86" s="241" t="str">
        <f>IF(Front!G39= "120 V, 60 Hz, 1 ph.","Electric Heating capacity","")</f>
        <v/>
      </c>
      <c r="W86" s="241"/>
      <c r="X86" s="242" t="str">
        <f>IF(Front!G39= "120 V, 60 Hz, 1 ph.","Blower Amps (A)","")</f>
        <v/>
      </c>
      <c r="Y86" s="242"/>
      <c r="Z86" s="242" t="str">
        <f>IF(Front!G39= "120 V, 60 Hz, 1 ph.","Total Current (A)","")</f>
        <v/>
      </c>
      <c r="AA86" s="242"/>
      <c r="AB86" s="242" t="str">
        <f>IF(Front!G39= "120 V, 60 Hz, 1 ph.","Minimum Circuit Ampacity (A)","")</f>
        <v/>
      </c>
      <c r="AC86" s="242"/>
      <c r="AD86" s="242" t="str">
        <f>IF(Front!G39= "120 V, 60 Hz, 1 ph.","Maximum Circuit Breaker size (A)","")</f>
        <v/>
      </c>
      <c r="AE86" s="242"/>
      <c r="AF86" s="206"/>
      <c r="AG86" s="195"/>
    </row>
    <row r="87" spans="1:33" ht="18.75" customHeight="1">
      <c r="C87" s="195"/>
      <c r="D87" s="195"/>
      <c r="E87" s="195"/>
      <c r="F87" s="195"/>
      <c r="G87" s="195"/>
      <c r="H87" s="195"/>
      <c r="I87" s="195"/>
      <c r="J87" s="195"/>
      <c r="K87" s="195"/>
      <c r="L87" s="195"/>
      <c r="M87" s="195"/>
      <c r="N87" s="195"/>
      <c r="O87" s="195"/>
      <c r="P87" s="195"/>
      <c r="Q87" s="195"/>
      <c r="R87" s="207"/>
      <c r="S87" s="241"/>
      <c r="T87" s="241"/>
      <c r="U87" s="242"/>
      <c r="V87" s="211" t="str">
        <f>IF(Front!G39= "120 V, 60 Hz, 1 ph.","kW","")</f>
        <v/>
      </c>
      <c r="W87" s="211" t="str">
        <f>IF(Front!G39= "120 V, 60 Hz, 1 ph.","BTUH","")</f>
        <v/>
      </c>
      <c r="X87" s="242"/>
      <c r="Y87" s="242"/>
      <c r="Z87" s="242"/>
      <c r="AA87" s="242"/>
      <c r="AB87" s="242"/>
      <c r="AC87" s="242"/>
      <c r="AD87" s="242"/>
      <c r="AE87" s="242"/>
      <c r="AF87" s="206"/>
      <c r="AG87" s="195"/>
    </row>
    <row r="88" spans="1:33" ht="18.75" customHeight="1">
      <c r="C88" s="195"/>
      <c r="D88" s="195"/>
      <c r="E88" s="195"/>
      <c r="F88" s="195"/>
      <c r="G88" s="195"/>
      <c r="H88" s="195"/>
      <c r="I88" s="195"/>
      <c r="J88" s="195"/>
      <c r="K88" s="195"/>
      <c r="L88" s="195"/>
      <c r="M88" s="195"/>
      <c r="N88" s="195"/>
      <c r="O88" s="195"/>
      <c r="P88" s="195"/>
      <c r="Q88" s="195"/>
      <c r="R88" s="207"/>
      <c r="S88" s="241"/>
      <c r="T88" s="241"/>
      <c r="U88" s="242"/>
      <c r="V88" s="211" t="str">
        <f>IF(Front!G39="120 V, 60 Hz, 1 ph.","120 V","")</f>
        <v/>
      </c>
      <c r="W88" s="211" t="str">
        <f>IF(Front!G39= "120 V, 60 Hz, 1 ph.","120 V","")</f>
        <v/>
      </c>
      <c r="X88" s="241" t="str">
        <f>IF(Front!G39= "120 V, 60 Hz, 1 ph.","120 V","")</f>
        <v/>
      </c>
      <c r="Y88" s="241"/>
      <c r="Z88" s="241" t="str">
        <f>IF(Front!G39= "120 V, 60 Hz, 1 ph.","120 V","")</f>
        <v/>
      </c>
      <c r="AA88" s="241"/>
      <c r="AB88" s="241" t="str">
        <f>IF(Front!G39= "120 V, 60 Hz, 1 ph.","120 V","")</f>
        <v/>
      </c>
      <c r="AC88" s="241"/>
      <c r="AD88" s="241" t="str">
        <f>IF(Front!G39= "120 V, 60 Hz, 1 ph.","120 V","")</f>
        <v/>
      </c>
      <c r="AE88" s="241"/>
      <c r="AF88" s="206"/>
      <c r="AG88" s="195"/>
    </row>
    <row r="89" spans="1:33" ht="18.75" customHeight="1">
      <c r="C89" s="195"/>
      <c r="D89" s="195"/>
      <c r="E89" s="195"/>
      <c r="F89" s="195"/>
      <c r="G89" s="195"/>
      <c r="H89" s="195"/>
      <c r="I89" s="195"/>
      <c r="J89" s="195"/>
      <c r="K89" s="195"/>
      <c r="L89" s="195"/>
      <c r="M89" s="195"/>
      <c r="N89" s="195"/>
      <c r="O89" s="195"/>
      <c r="P89" s="195"/>
      <c r="Q89" s="195"/>
      <c r="R89" s="207"/>
      <c r="S89" s="205" t="str">
        <f>IF(Front!G39= "120 V, 60 Hz, 1 ph.",Front!G32,"")</f>
        <v/>
      </c>
      <c r="T89" s="208" t="str">
        <f>IFERROR(IF(VLOOKUP(VLOOKUP($S89,Data!$B$3:$X$58,10,FALSE)&amp;"_"&amp;VLOOKUP($S89,Data!$B$3:$X$58,7,FALSE)&amp;"_"&amp;VLOOKUP($S89,Data!$B$3:$X$58,9,FALSE)&amp;"_1",'Electrial data'!$C$7:P$10,3,FALSE)="","",VLOOKUP(VLOOKUP($S89,Data!$B$3:$X$58,10,FALSE)&amp;"_"&amp;VLOOKUP($S89,Data!$B$3:$X$58,7,FALSE)&amp;"_"&amp;VLOOKUP($S89,Data!$B$3:$X$58,9,FALSE)&amp;"_1",'Electrial data'!$C$7:$P$10,3,FALSE)),"")</f>
        <v/>
      </c>
      <c r="U89" s="208" t="str">
        <f>IFERROR(IF(VLOOKUP(VLOOKUP($S89,Data!$B$3:$X$58,10,FALSE)&amp;"_"&amp;VLOOKUP($S89,Data!$B$3:$X$58,7,FALSE)&amp;"_"&amp;VLOOKUP($S89,Data!$B$3:$X$58,9,FALSE)&amp;"_1",'Electrial data'!$C$7:Q$10,4,FALSE)="","",VLOOKUP(VLOOKUP($S89,Data!$B$3:$X$58,10,FALSE)&amp;"_"&amp;VLOOKUP($S89,Data!$B$3:$X$58,7,FALSE)&amp;"_"&amp;VLOOKUP($S89,Data!$B$3:$X$58,9,FALSE)&amp;"_1",'Electrial data'!$C$7:$P$10,4,FALSE)),"")</f>
        <v/>
      </c>
      <c r="V89" s="208" t="str">
        <f>IFERROR(IF(VLOOKUP(VLOOKUP($S89,Data!$B$3:$X$58,10,FALSE)&amp;"_"&amp;VLOOKUP($S89,Data!$B$3:$X$58,7,FALSE)&amp;"_"&amp;VLOOKUP($S89,Data!$B$3:$X$58,9,FALSE)&amp;"_1",'Electrial data'!$C$7:Q$10,5,FALSE)="","",VLOOKUP(VLOOKUP($S89,Data!$B$3:$X$58,10,FALSE)&amp;"_"&amp;VLOOKUP($S89,Data!$B$3:$X$58,7,FALSE)&amp;"_"&amp;VLOOKUP($S89,Data!$B$3:$X$58,9,FALSE)&amp;"_1",'Electrial data'!$C$7:$P$10,5,FALSE)),"")</f>
        <v/>
      </c>
      <c r="W89" s="208" t="str">
        <f>IFERROR(IF(VLOOKUP(VLOOKUP($S89,Data!$B$3:$X$58,10,FALSE)&amp;"_"&amp;VLOOKUP($S89,Data!$B$3:$X$58,7,FALSE)&amp;"_"&amp;VLOOKUP($S89,Data!$B$3:$X$58,9,FALSE)&amp;"_1",'Electrial data'!$C$7:Q$10,6,FALSE)="","",VLOOKUP(VLOOKUP($S89,Data!$B$3:$X$58,10,FALSE)&amp;"_"&amp;VLOOKUP($S89,Data!$B$3:$X$58,7,FALSE)&amp;"_"&amp;VLOOKUP($S89,Data!$B$3:$X$58,9,FALSE)&amp;"_1",'Electrial data'!$C$7:$P$10,6,FALSE)),"")</f>
        <v/>
      </c>
      <c r="X89" s="240" t="str">
        <f>IFERROR(IF(VLOOKUP(VLOOKUP($S89,Data!$B$3:$X$58,10,FALSE)&amp;"_"&amp;VLOOKUP($S89,Data!$B$3:$X$58,7,FALSE)&amp;"_"&amp;VLOOKUP($S89,Data!$B$3:$X$58,9,FALSE)&amp;"_1",'Electrial data'!$C$7:O$10,7,FALSE)="","",VLOOKUP(VLOOKUP($S89,Data!$B$3:$X$58,10,FALSE)&amp;"_"&amp;VLOOKUP($S89,Data!$B$3:$X$58,7,FALSE)&amp;"_"&amp;VLOOKUP($S89,Data!$B$3:$X$58,9,FALSE)&amp;"_1",'Electrial data'!$C$7:$P$10,7,FALSE)),"")</f>
        <v/>
      </c>
      <c r="Y89" s="240"/>
      <c r="Z89" s="240" t="str">
        <f>IFERROR(IF(VLOOKUP(VLOOKUP($S89,Data!$B$3:$X$58,10,FALSE)&amp;"_"&amp;VLOOKUP($S89,Data!$B$3:$X$58,7,FALSE)&amp;"_"&amp;VLOOKUP($S89,Data!$B$3:$X$58,9,FALSE)&amp;"_1",'Electrial data'!$C$7:Q$10,9,FALSE)="","",VLOOKUP(VLOOKUP($S89,Data!$B$3:$X$58,10,FALSE)&amp;"_"&amp;VLOOKUP($S89,Data!$B$3:$X$58,7,FALSE)&amp;"_"&amp;VLOOKUP($S89,Data!$B$3:$X$58,9,FALSE)&amp;"_1",'Electrial data'!$C$7:$P$10,9,FALSE)),"")</f>
        <v/>
      </c>
      <c r="AA89" s="240"/>
      <c r="AB89" s="240" t="str">
        <f>IFERROR(IF(VLOOKUP(VLOOKUP($S89,Data!$B$3:$X$58,10,FALSE)&amp;"_"&amp;VLOOKUP($S89,Data!$B$3:$X$58,7,FALSE)&amp;"_"&amp;VLOOKUP($S89,Data!$B$3:$X$58,9,FALSE)&amp;"_1",'Electrial data'!$C$7:Q$10,11,FALSE)="","",VLOOKUP(VLOOKUP($S89,Data!$B$3:$X$58,10,FALSE)&amp;"_"&amp;VLOOKUP($S89,Data!$B$3:$X$58,7,FALSE)&amp;"_"&amp;VLOOKUP($S89,Data!$B$3:$X$58,9,FALSE)&amp;"_1",'Electrial data'!$C$7:$P$10,11,FALSE)),"")</f>
        <v/>
      </c>
      <c r="AC89" s="240"/>
      <c r="AD89" s="240" t="str">
        <f>IFERROR(IF(VLOOKUP(VLOOKUP($S89,Data!$B$3:$X$58,10,FALSE)&amp;"_"&amp;VLOOKUP($S89,Data!$B$3:$X$58,7,FALSE)&amp;"_"&amp;VLOOKUP($S89,Data!$B$3:$X$58,9,FALSE)&amp;"_1",'Electrial data'!$C$7:S$10,13,FALSE)="","",VLOOKUP(VLOOKUP($S89,Data!$B$3:$X$58,10,FALSE)&amp;"_"&amp;VLOOKUP($S89,Data!$B$3:$X$58,7,FALSE)&amp;"_"&amp;VLOOKUP($S89,Data!$B$3:$X$58,9,FALSE)&amp;"_1",'Electrial data'!$C$7:$P$10,13,FALSE)),"")</f>
        <v/>
      </c>
      <c r="AE89" s="240"/>
      <c r="AF89" s="206"/>
      <c r="AG89" s="195"/>
    </row>
    <row r="90" spans="1:33" ht="18.75" customHeight="1">
      <c r="C90" s="195"/>
      <c r="D90" s="195"/>
      <c r="E90" s="195"/>
      <c r="F90" s="195"/>
      <c r="G90" s="195"/>
      <c r="H90" s="195"/>
      <c r="I90" s="195"/>
      <c r="J90" s="195"/>
      <c r="K90" s="195"/>
      <c r="L90" s="195"/>
      <c r="M90" s="195"/>
      <c r="N90" s="195"/>
      <c r="O90" s="195"/>
      <c r="P90" s="195"/>
      <c r="Q90" s="195"/>
      <c r="R90" s="207"/>
      <c r="S90" s="218"/>
      <c r="T90" s="218"/>
      <c r="U90" s="218"/>
      <c r="V90" s="218"/>
      <c r="W90" s="218"/>
      <c r="X90" s="218"/>
      <c r="Y90" s="218"/>
      <c r="Z90" s="218"/>
      <c r="AA90" s="218"/>
      <c r="AB90" s="218"/>
      <c r="AC90" s="218"/>
      <c r="AD90" s="218"/>
      <c r="AE90" s="218"/>
      <c r="AF90" s="206"/>
      <c r="AG90" s="195"/>
    </row>
    <row r="91" spans="1:33" ht="18.75" customHeight="1">
      <c r="C91" s="195"/>
      <c r="D91" s="195"/>
      <c r="E91" s="195"/>
      <c r="F91" s="195"/>
      <c r="G91" s="195"/>
      <c r="H91" s="195"/>
      <c r="I91" s="195"/>
      <c r="J91" s="195"/>
      <c r="K91" s="195"/>
      <c r="L91" s="195"/>
      <c r="M91" s="195"/>
      <c r="N91" s="195"/>
      <c r="O91" s="195"/>
      <c r="P91" s="195"/>
      <c r="Q91" s="195"/>
      <c r="R91" s="207"/>
      <c r="S91" s="218" t="s">
        <v>224</v>
      </c>
      <c r="T91" s="218"/>
      <c r="U91" s="218"/>
      <c r="V91" s="218"/>
      <c r="W91" s="218"/>
      <c r="X91" s="218"/>
      <c r="Y91" s="218"/>
      <c r="Z91" s="218"/>
      <c r="AA91" s="218"/>
      <c r="AB91" s="218"/>
      <c r="AC91" s="218"/>
      <c r="AD91" s="218"/>
      <c r="AE91" s="218"/>
      <c r="AF91" s="206"/>
      <c r="AG91" s="195"/>
    </row>
    <row r="92" spans="1:33" ht="18.75" customHeight="1">
      <c r="C92" s="195"/>
      <c r="D92" s="195"/>
      <c r="E92" s="195"/>
      <c r="F92" s="195"/>
      <c r="G92" s="195"/>
      <c r="H92" s="195"/>
      <c r="I92" s="195"/>
      <c r="J92" s="195"/>
      <c r="K92" s="195"/>
      <c r="L92" s="195"/>
      <c r="M92" s="195"/>
      <c r="N92" s="195"/>
      <c r="O92" s="195"/>
      <c r="P92" s="195"/>
      <c r="Q92" s="195"/>
      <c r="R92" s="207"/>
      <c r="S92" s="218" t="s">
        <v>225</v>
      </c>
      <c r="T92" s="218"/>
      <c r="U92" s="218"/>
      <c r="V92" s="218"/>
      <c r="W92" s="218"/>
      <c r="X92" s="218"/>
      <c r="Y92" s="218"/>
      <c r="Z92" s="218"/>
      <c r="AA92" s="218"/>
      <c r="AB92" s="218"/>
      <c r="AC92" s="218"/>
      <c r="AD92" s="218"/>
      <c r="AE92" s="218"/>
      <c r="AF92" s="206"/>
      <c r="AG92" s="195"/>
    </row>
    <row r="93" spans="1:33" ht="18.75" customHeight="1">
      <c r="C93" s="195"/>
      <c r="D93" s="195"/>
      <c r="E93" s="195"/>
      <c r="F93" s="195"/>
      <c r="G93" s="195"/>
      <c r="H93" s="195"/>
      <c r="I93" s="195"/>
      <c r="J93" s="195"/>
      <c r="K93" s="195"/>
      <c r="L93" s="195"/>
      <c r="M93" s="195"/>
      <c r="N93" s="195"/>
      <c r="O93" s="195"/>
      <c r="P93" s="195"/>
      <c r="Q93" s="195"/>
      <c r="R93" s="232"/>
      <c r="S93" s="229" t="s">
        <v>226</v>
      </c>
      <c r="T93" s="229"/>
      <c r="U93" s="229"/>
      <c r="V93" s="229"/>
      <c r="W93" s="229"/>
      <c r="X93" s="229"/>
      <c r="Y93" s="229"/>
      <c r="Z93" s="229"/>
      <c r="AA93" s="229"/>
      <c r="AB93" s="229"/>
      <c r="AC93" s="229"/>
      <c r="AD93" s="229"/>
      <c r="AE93" s="229"/>
      <c r="AF93" s="230"/>
      <c r="AG93" s="195"/>
    </row>
    <row r="94" spans="1:33" ht="13.5">
      <c r="U94" s="98"/>
      <c r="V94" s="95"/>
      <c r="W94" s="96"/>
      <c r="X94" s="97"/>
      <c r="Y94" s="97"/>
      <c r="Z94" s="97"/>
      <c r="AA94" s="97"/>
      <c r="AB94" s="97"/>
      <c r="AC94" s="97"/>
      <c r="AD94" s="96"/>
      <c r="AE94" s="95"/>
    </row>
    <row r="95" spans="1:33" ht="13.5">
      <c r="U95" s="98"/>
      <c r="V95" s="95"/>
      <c r="W95" s="96"/>
      <c r="X95" s="97"/>
      <c r="Y95" s="97"/>
      <c r="Z95" s="97"/>
      <c r="AA95" s="97"/>
      <c r="AB95" s="97"/>
      <c r="AC95" s="97"/>
      <c r="AD95" s="96"/>
      <c r="AE95" s="95"/>
    </row>
    <row r="96" spans="1:33" ht="13.5">
      <c r="S96" s="109"/>
      <c r="U96" s="95"/>
      <c r="V96" s="96"/>
      <c r="W96" s="97"/>
      <c r="X96" s="97"/>
      <c r="Y96" s="97"/>
      <c r="Z96" s="97"/>
      <c r="AA96" s="97"/>
      <c r="AB96" s="97"/>
      <c r="AC96" s="96"/>
      <c r="AD96" s="95"/>
      <c r="AE96" s="4"/>
    </row>
    <row r="97" spans="21:31">
      <c r="U97" s="121"/>
      <c r="V97" s="121"/>
      <c r="W97" s="121"/>
      <c r="X97" s="122"/>
      <c r="Y97" s="122"/>
      <c r="Z97" s="122"/>
      <c r="AA97" s="122"/>
      <c r="AB97" s="122"/>
      <c r="AC97" s="122"/>
      <c r="AD97" s="122"/>
      <c r="AE97" s="122"/>
    </row>
  </sheetData>
  <sheetProtection algorithmName="SHA-512" hashValue="rMkRSmDNB6P7/E+FCkbni5NIYwa/XS0re5lYrA9sxkkuIZXPTMn54mpDAhBQSsWMEhIAKvVbAnztX4wXP0Z8hQ==" saltValue="cxt4NUDnDnhtCT4NSpjd9w==" spinCount="100000" sheet="1" objects="1" scenarios="1"/>
  <mergeCells count="105">
    <mergeCell ref="V59:W59"/>
    <mergeCell ref="Z59:AA60"/>
    <mergeCell ref="AB59:AC60"/>
    <mergeCell ref="AD59:AE60"/>
    <mergeCell ref="V65:W65"/>
    <mergeCell ref="Z65:AA66"/>
    <mergeCell ref="AB65:AC66"/>
    <mergeCell ref="AD65:AE66"/>
    <mergeCell ref="X59:Y60"/>
    <mergeCell ref="X65:Y66"/>
    <mergeCell ref="AD47:AE48"/>
    <mergeCell ref="AB47:AC48"/>
    <mergeCell ref="Z47:AA48"/>
    <mergeCell ref="V47:W47"/>
    <mergeCell ref="V53:W53"/>
    <mergeCell ref="Z53:AA54"/>
    <mergeCell ref="AB53:AC54"/>
    <mergeCell ref="AD53:AE54"/>
    <mergeCell ref="X47:Y48"/>
    <mergeCell ref="X53:Y54"/>
    <mergeCell ref="T47:T49"/>
    <mergeCell ref="U47:U49"/>
    <mergeCell ref="S53:S55"/>
    <mergeCell ref="T53:T55"/>
    <mergeCell ref="U53:U55"/>
    <mergeCell ref="S59:S61"/>
    <mergeCell ref="T59:T61"/>
    <mergeCell ref="U59:U61"/>
    <mergeCell ref="S65:S67"/>
    <mergeCell ref="T65:T67"/>
    <mergeCell ref="U65:U67"/>
    <mergeCell ref="S47:S49"/>
    <mergeCell ref="E45:O45"/>
    <mergeCell ref="C47:D47"/>
    <mergeCell ref="C54:D54"/>
    <mergeCell ref="C61:D61"/>
    <mergeCell ref="C68:D68"/>
    <mergeCell ref="C48:D48"/>
    <mergeCell ref="C55:D55"/>
    <mergeCell ref="C62:D62"/>
    <mergeCell ref="C69:D69"/>
    <mergeCell ref="S86:S88"/>
    <mergeCell ref="AD86:AE87"/>
    <mergeCell ref="AD71:AE72"/>
    <mergeCell ref="S81:S83"/>
    <mergeCell ref="AD81:AE82"/>
    <mergeCell ref="S76:S78"/>
    <mergeCell ref="AD76:AE77"/>
    <mergeCell ref="T71:T73"/>
    <mergeCell ref="U71:U73"/>
    <mergeCell ref="V71:W71"/>
    <mergeCell ref="S71:S73"/>
    <mergeCell ref="X71:Y72"/>
    <mergeCell ref="Z71:AA72"/>
    <mergeCell ref="AB71:AC72"/>
    <mergeCell ref="T76:T78"/>
    <mergeCell ref="U76:U78"/>
    <mergeCell ref="V76:W76"/>
    <mergeCell ref="X76:Y77"/>
    <mergeCell ref="Z76:AA77"/>
    <mergeCell ref="AB76:AC77"/>
    <mergeCell ref="T86:T88"/>
    <mergeCell ref="U86:U88"/>
    <mergeCell ref="V86:W86"/>
    <mergeCell ref="X86:Y87"/>
    <mergeCell ref="Z86:AA87"/>
    <mergeCell ref="AB86:AC87"/>
    <mergeCell ref="X83:Y83"/>
    <mergeCell ref="Z83:AA83"/>
    <mergeCell ref="AB83:AC83"/>
    <mergeCell ref="T81:T83"/>
    <mergeCell ref="U81:U83"/>
    <mergeCell ref="V81:W81"/>
    <mergeCell ref="X81:Y82"/>
    <mergeCell ref="Z81:AA82"/>
    <mergeCell ref="AD73:AE73"/>
    <mergeCell ref="AB73:AC73"/>
    <mergeCell ref="Z73:AA73"/>
    <mergeCell ref="X73:Y73"/>
    <mergeCell ref="X78:Y78"/>
    <mergeCell ref="Z78:AA78"/>
    <mergeCell ref="AB78:AC78"/>
    <mergeCell ref="AD78:AE78"/>
    <mergeCell ref="X74:Y74"/>
    <mergeCell ref="Z74:AA74"/>
    <mergeCell ref="AB74:AC74"/>
    <mergeCell ref="AD74:AE74"/>
    <mergeCell ref="X89:Y89"/>
    <mergeCell ref="Z89:AA89"/>
    <mergeCell ref="AB89:AC89"/>
    <mergeCell ref="AD89:AE89"/>
    <mergeCell ref="X79:Y79"/>
    <mergeCell ref="Z79:AA79"/>
    <mergeCell ref="AB79:AC79"/>
    <mergeCell ref="AD79:AE79"/>
    <mergeCell ref="X84:Y84"/>
    <mergeCell ref="Z84:AA84"/>
    <mergeCell ref="AB84:AC84"/>
    <mergeCell ref="AD84:AE84"/>
    <mergeCell ref="AD83:AE83"/>
    <mergeCell ref="X88:Y88"/>
    <mergeCell ref="Z88:AA88"/>
    <mergeCell ref="AB88:AC88"/>
    <mergeCell ref="AD88:AE88"/>
    <mergeCell ref="AB81:AC82"/>
  </mergeCells>
  <conditionalFormatting sqref="C47:D47">
    <cfRule type="expression" dxfId="33" priority="149">
      <formula>OR(C47&lt;&gt;"",D47&lt;&gt;"")</formula>
    </cfRule>
  </conditionalFormatting>
  <conditionalFormatting sqref="C48:D48">
    <cfRule type="expression" dxfId="32" priority="132">
      <formula>C48&lt;&gt;""</formula>
    </cfRule>
  </conditionalFormatting>
  <conditionalFormatting sqref="C54:D54">
    <cfRule type="expression" dxfId="31" priority="131">
      <formula>OR(C54&lt;&gt;"",D54&lt;&gt;"")</formula>
    </cfRule>
  </conditionalFormatting>
  <conditionalFormatting sqref="C55:D55">
    <cfRule type="expression" dxfId="30" priority="133">
      <formula>C55&lt;&gt;""</formula>
    </cfRule>
  </conditionalFormatting>
  <conditionalFormatting sqref="C61:D61">
    <cfRule type="expression" dxfId="29" priority="130">
      <formula>OR(C61&lt;&gt;"",D61&lt;&gt;"")</formula>
    </cfRule>
  </conditionalFormatting>
  <conditionalFormatting sqref="C62:D62">
    <cfRule type="expression" dxfId="28" priority="134">
      <formula>C62&lt;&gt;""</formula>
    </cfRule>
  </conditionalFormatting>
  <conditionalFormatting sqref="C68:D68">
    <cfRule type="expression" dxfId="27" priority="129">
      <formula>OR(C68&lt;&gt;"",D68&lt;&gt;"")</formula>
    </cfRule>
  </conditionalFormatting>
  <conditionalFormatting sqref="C69:D69">
    <cfRule type="expression" dxfId="26" priority="144">
      <formula>C69&lt;&gt;""</formula>
    </cfRule>
  </conditionalFormatting>
  <conditionalFormatting sqref="C10:I13">
    <cfRule type="expression" dxfId="25" priority="34">
      <formula>C10&lt;&gt;""</formula>
    </cfRule>
  </conditionalFormatting>
  <conditionalFormatting sqref="E47:O52">
    <cfRule type="expression" dxfId="24" priority="141">
      <formula>E47&lt;&gt;""</formula>
    </cfRule>
  </conditionalFormatting>
  <conditionalFormatting sqref="E54:O59">
    <cfRule type="expression" dxfId="23" priority="139">
      <formula>E54&lt;&gt;""</formula>
    </cfRule>
  </conditionalFormatting>
  <conditionalFormatting sqref="E61:O66">
    <cfRule type="expression" dxfId="22" priority="137">
      <formula>E61&lt;&gt;""</formula>
    </cfRule>
  </conditionalFormatting>
  <conditionalFormatting sqref="E68:O73">
    <cfRule type="expression" dxfId="21" priority="135">
      <formula>E68&lt;&gt;""</formula>
    </cfRule>
  </conditionalFormatting>
  <conditionalFormatting sqref="J10:AD13">
    <cfRule type="expression" dxfId="20" priority="23">
      <formula>J10&lt;&gt;""</formula>
    </cfRule>
  </conditionalFormatting>
  <conditionalFormatting sqref="S50">
    <cfRule type="expression" dxfId="19" priority="128">
      <formula>S50&lt;&gt;""</formula>
    </cfRule>
  </conditionalFormatting>
  <conditionalFormatting sqref="S56">
    <cfRule type="expression" dxfId="18" priority="123">
      <formula>S56&lt;&gt;""</formula>
    </cfRule>
  </conditionalFormatting>
  <conditionalFormatting sqref="S62">
    <cfRule type="expression" dxfId="17" priority="122">
      <formula>S62&lt;&gt;""</formula>
    </cfRule>
  </conditionalFormatting>
  <conditionalFormatting sqref="S68">
    <cfRule type="expression" dxfId="16" priority="121">
      <formula>S68&lt;&gt;""</formula>
    </cfRule>
  </conditionalFormatting>
  <conditionalFormatting sqref="S47:AE49">
    <cfRule type="expression" dxfId="15" priority="76">
      <formula>S47&lt;&gt;""</formula>
    </cfRule>
  </conditionalFormatting>
  <conditionalFormatting sqref="S53:AE55">
    <cfRule type="expression" dxfId="14" priority="73">
      <formula>S53&lt;&gt;""</formula>
    </cfRule>
  </conditionalFormatting>
  <conditionalFormatting sqref="S59:AE61">
    <cfRule type="expression" dxfId="13" priority="61">
      <formula>S59&lt;&gt;""</formula>
    </cfRule>
  </conditionalFormatting>
  <conditionalFormatting sqref="S65:AE67">
    <cfRule type="expression" dxfId="12" priority="60">
      <formula>S65&lt;&gt;""</formula>
    </cfRule>
  </conditionalFormatting>
  <conditionalFormatting sqref="S71:AE73">
    <cfRule type="expression" dxfId="11" priority="16">
      <formula>S71&lt;&gt;""</formula>
    </cfRule>
  </conditionalFormatting>
  <conditionalFormatting sqref="S74:AE74">
    <cfRule type="expression" dxfId="10" priority="119">
      <formula>S74&lt;&gt;""</formula>
    </cfRule>
  </conditionalFormatting>
  <conditionalFormatting sqref="S76:AE78">
    <cfRule type="expression" dxfId="9" priority="12">
      <formula>S76&lt;&gt;""</formula>
    </cfRule>
  </conditionalFormatting>
  <conditionalFormatting sqref="S79:AE79">
    <cfRule type="expression" dxfId="8" priority="3">
      <formula>S79&lt;&gt;""</formula>
    </cfRule>
  </conditionalFormatting>
  <conditionalFormatting sqref="S81:AE83">
    <cfRule type="expression" dxfId="7" priority="11">
      <formula>S81&lt;&gt;""</formula>
    </cfRule>
  </conditionalFormatting>
  <conditionalFormatting sqref="S84:AE84">
    <cfRule type="expression" dxfId="6" priority="2">
      <formula>S84&lt;&gt;""</formula>
    </cfRule>
  </conditionalFormatting>
  <conditionalFormatting sqref="S86:AE88">
    <cfRule type="expression" dxfId="5" priority="10">
      <formula>S86&lt;&gt;""</formula>
    </cfRule>
  </conditionalFormatting>
  <conditionalFormatting sqref="S89:AE89">
    <cfRule type="expression" dxfId="4" priority="1">
      <formula>S89&lt;&gt;""</formula>
    </cfRule>
  </conditionalFormatting>
  <conditionalFormatting sqref="T50:AE51">
    <cfRule type="expression" dxfId="3" priority="127">
      <formula>T50&lt;&gt;""</formula>
    </cfRule>
  </conditionalFormatting>
  <conditionalFormatting sqref="T56:AE57">
    <cfRule type="expression" dxfId="2" priority="19">
      <formula>T56&lt;&gt;""</formula>
    </cfRule>
  </conditionalFormatting>
  <conditionalFormatting sqref="T62:AE63">
    <cfRule type="expression" dxfId="1" priority="18">
      <formula>T62&lt;&gt;""</formula>
    </cfRule>
  </conditionalFormatting>
  <conditionalFormatting sqref="T68:AE69">
    <cfRule type="expression" dxfId="0" priority="17">
      <formula>T68&lt;&gt;""</formula>
    </cfRule>
  </conditionalFormatting>
  <printOptions horizontalCentered="1"/>
  <pageMargins left="0" right="0" top="0" bottom="0" header="0.05" footer="0"/>
  <pageSetup scale="50" orientation="portrait" r:id="rId1"/>
  <ignoredErrors>
    <ignoredError sqref="AD58:AE58 AD64:AE64 AD60:AE60 AE59 AD66:AE66 AE65 AC65 AB66:AC66 W65 AC59 AB60:AC60 W59 AC53 AB54:AC54 T66:U66 T67:U67 T60:U60 T61:U61 T54:U54 T55:U55 AA65 Z66:AA66 AA59 Z60:AA60 AA53 W53 T58:W58 T64:W64 AB64:AC64 Z64:AA64 AB58:AC58 Z58:AA58 Z54:AA54 AB52:AC52 T47:AC51 T53:V53 T52:AA52 T56:AC57 V54:Y54 T59:V59 X58:Y58 T65:V65 X64:Y64 X53:Z53 AB53 T62:AC63 V60:Y60 AB59 V67:AC67 V66:Y66 AB65 V55:AC55 V61:AC61 X59:Z59 X65:Z6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dimension ref="F3:W28"/>
  <sheetViews>
    <sheetView showGridLines="0" workbookViewId="0">
      <selection activeCell="H21" sqref="H21"/>
    </sheetView>
  </sheetViews>
  <sheetFormatPr defaultRowHeight="13.5"/>
  <cols>
    <col min="7" max="7" width="2.85546875" customWidth="1"/>
    <col min="8" max="8" width="19.140625" customWidth="1"/>
    <col min="9" max="9" width="3.140625" customWidth="1"/>
    <col min="10" max="10" width="5.7109375" bestFit="1" customWidth="1"/>
    <col min="11" max="11" width="3" customWidth="1"/>
    <col min="12" max="12" width="10.5703125" bestFit="1" customWidth="1"/>
    <col min="13" max="13" width="3.28515625" customWidth="1"/>
    <col min="14" max="14" width="11.140625" customWidth="1"/>
    <col min="15" max="15" width="2.140625" customWidth="1"/>
    <col min="16" max="16" width="23.7109375" customWidth="1"/>
    <col min="17" max="17" width="2.140625" customWidth="1"/>
    <col min="18" max="18" width="22" customWidth="1"/>
    <col min="19" max="19" width="2.140625" customWidth="1"/>
    <col min="20" max="20" width="11.28515625" customWidth="1"/>
    <col min="21" max="21" width="2.140625" customWidth="1"/>
    <col min="22" max="22" width="6.5703125" customWidth="1"/>
  </cols>
  <sheetData>
    <row r="3" spans="6:23">
      <c r="F3" s="50" t="s">
        <v>89</v>
      </c>
      <c r="G3" s="248" t="s">
        <v>90</v>
      </c>
      <c r="H3" s="248"/>
      <c r="I3" s="248">
        <v>4</v>
      </c>
      <c r="J3" s="248"/>
      <c r="K3" s="248" t="s">
        <v>98</v>
      </c>
      <c r="L3" s="248"/>
      <c r="M3" s="249" t="s">
        <v>117</v>
      </c>
      <c r="N3" s="249"/>
      <c r="O3" s="248" t="s">
        <v>56</v>
      </c>
      <c r="P3" s="248"/>
      <c r="Q3" s="248">
        <v>2</v>
      </c>
      <c r="R3" s="248"/>
      <c r="S3" s="248" t="s">
        <v>116</v>
      </c>
      <c r="T3" s="248"/>
      <c r="U3" s="248">
        <v>1</v>
      </c>
      <c r="V3" s="248"/>
    </row>
    <row r="4" spans="6:23">
      <c r="F4" s="49" t="s">
        <v>36</v>
      </c>
      <c r="G4" s="246" t="s">
        <v>37</v>
      </c>
      <c r="H4" s="247"/>
      <c r="I4" s="250" t="s">
        <v>1</v>
      </c>
      <c r="J4" s="250"/>
      <c r="K4" s="246" t="s">
        <v>97</v>
      </c>
      <c r="L4" s="251"/>
      <c r="M4" s="246" t="s">
        <v>35</v>
      </c>
      <c r="N4" s="247"/>
      <c r="O4" s="250" t="s">
        <v>40</v>
      </c>
      <c r="P4" s="250"/>
      <c r="Q4" s="246" t="s">
        <v>41</v>
      </c>
      <c r="R4" s="251"/>
      <c r="S4" s="246" t="s">
        <v>118</v>
      </c>
      <c r="T4" s="247"/>
      <c r="U4" s="246" t="s">
        <v>32</v>
      </c>
      <c r="V4" s="247" t="s">
        <v>32</v>
      </c>
      <c r="W4" s="48"/>
    </row>
    <row r="5" spans="6:23" ht="27" customHeight="1">
      <c r="F5" s="38" t="s">
        <v>89</v>
      </c>
      <c r="G5" s="41" t="s">
        <v>42</v>
      </c>
      <c r="H5" s="146" t="s">
        <v>91</v>
      </c>
      <c r="I5" s="165" t="s">
        <v>44</v>
      </c>
      <c r="J5" s="149" t="s">
        <v>93</v>
      </c>
      <c r="K5" s="43" t="s">
        <v>99</v>
      </c>
      <c r="L5" s="44" t="s">
        <v>100</v>
      </c>
      <c r="M5" s="46" t="s">
        <v>49</v>
      </c>
      <c r="N5" s="42" t="s">
        <v>102</v>
      </c>
      <c r="O5" s="46" t="s">
        <v>109</v>
      </c>
      <c r="P5" s="146" t="s">
        <v>110</v>
      </c>
      <c r="Q5" s="46" t="s">
        <v>43</v>
      </c>
      <c r="R5" s="146" t="s">
        <v>112</v>
      </c>
      <c r="S5" s="46" t="s">
        <v>114</v>
      </c>
      <c r="T5" s="42" t="s">
        <v>115</v>
      </c>
      <c r="U5" s="45"/>
      <c r="V5" s="78"/>
    </row>
    <row r="6" spans="6:23" ht="27" customHeight="1">
      <c r="F6" s="39"/>
      <c r="G6" s="41"/>
      <c r="H6" s="42"/>
      <c r="I6" s="165" t="s">
        <v>45</v>
      </c>
      <c r="J6" s="149" t="s">
        <v>94</v>
      </c>
      <c r="K6" s="43"/>
      <c r="L6" s="42"/>
      <c r="M6" s="46" t="s">
        <v>50</v>
      </c>
      <c r="N6" s="42" t="s">
        <v>103</v>
      </c>
      <c r="O6" s="46" t="s">
        <v>86</v>
      </c>
      <c r="P6" s="146" t="s">
        <v>111</v>
      </c>
      <c r="Q6" s="46" t="s">
        <v>44</v>
      </c>
      <c r="R6" s="146" t="s">
        <v>113</v>
      </c>
      <c r="S6" s="46"/>
      <c r="T6" s="42"/>
      <c r="U6" s="45"/>
      <c r="V6" s="78"/>
    </row>
    <row r="7" spans="6:23" ht="27">
      <c r="F7" s="40"/>
      <c r="G7" s="40"/>
      <c r="H7" s="37"/>
      <c r="I7" s="165" t="s">
        <v>46</v>
      </c>
      <c r="J7" s="149" t="s">
        <v>95</v>
      </c>
      <c r="K7" s="43"/>
      <c r="L7" s="42"/>
      <c r="M7" s="46" t="s">
        <v>51</v>
      </c>
      <c r="N7" s="42" t="s">
        <v>104</v>
      </c>
      <c r="O7" s="46"/>
      <c r="P7" s="146"/>
      <c r="Q7" s="45"/>
      <c r="R7" s="78"/>
      <c r="S7" s="46"/>
      <c r="T7" s="42"/>
      <c r="U7" s="45"/>
      <c r="V7" s="78"/>
    </row>
    <row r="8" spans="6:23" ht="27">
      <c r="F8" s="47"/>
      <c r="G8" s="40"/>
      <c r="H8" s="78"/>
      <c r="I8" s="165" t="s">
        <v>92</v>
      </c>
      <c r="J8" s="149" t="s">
        <v>96</v>
      </c>
      <c r="K8" s="40"/>
      <c r="L8" s="37"/>
      <c r="M8" s="46" t="s">
        <v>52</v>
      </c>
      <c r="N8" s="42" t="s">
        <v>105</v>
      </c>
      <c r="O8" s="46"/>
      <c r="P8" s="146"/>
      <c r="Q8" s="45"/>
      <c r="R8" s="78"/>
      <c r="S8" s="46"/>
      <c r="T8" s="42"/>
      <c r="U8" s="45"/>
      <c r="V8" s="78"/>
    </row>
    <row r="9" spans="6:23" ht="27">
      <c r="F9" s="47"/>
      <c r="G9" s="40"/>
      <c r="H9" s="78"/>
      <c r="I9" s="165"/>
      <c r="J9" s="149"/>
      <c r="K9" s="40"/>
      <c r="L9" s="37"/>
      <c r="M9" s="46" t="s">
        <v>101</v>
      </c>
      <c r="N9" s="146" t="s">
        <v>108</v>
      </c>
      <c r="O9" s="46"/>
      <c r="P9" s="146"/>
      <c r="Q9" s="45"/>
      <c r="R9" s="78"/>
      <c r="S9" s="46"/>
      <c r="T9" s="146"/>
      <c r="U9" s="45"/>
      <c r="V9" s="78"/>
    </row>
    <row r="10" spans="6:23" ht="27">
      <c r="F10" s="47"/>
      <c r="G10" s="40"/>
      <c r="H10" s="78"/>
      <c r="I10" s="40"/>
      <c r="J10" s="78"/>
      <c r="K10" s="40"/>
      <c r="M10" s="46" t="s">
        <v>53</v>
      </c>
      <c r="N10" s="42" t="s">
        <v>107</v>
      </c>
      <c r="O10" s="40"/>
      <c r="Q10" s="40"/>
      <c r="R10" s="78"/>
      <c r="S10" s="40"/>
      <c r="U10" s="40"/>
      <c r="V10" s="78"/>
    </row>
    <row r="11" spans="6:23" ht="27">
      <c r="F11" s="47"/>
      <c r="G11" s="40"/>
      <c r="H11" s="78"/>
      <c r="I11" s="40"/>
      <c r="J11" s="78"/>
      <c r="K11" s="40"/>
      <c r="M11" s="46" t="s">
        <v>54</v>
      </c>
      <c r="N11" s="42" t="s">
        <v>106</v>
      </c>
      <c r="O11" s="40"/>
      <c r="Q11" s="40"/>
      <c r="R11" s="78"/>
      <c r="S11" s="40"/>
      <c r="U11" s="40"/>
      <c r="V11" s="78"/>
    </row>
    <row r="21" spans="6:23">
      <c r="F21" s="150"/>
      <c r="G21" s="155"/>
      <c r="H21" s="155"/>
      <c r="I21" s="155"/>
      <c r="J21" s="155"/>
      <c r="K21" s="155"/>
      <c r="L21" s="155"/>
      <c r="M21" s="156"/>
      <c r="N21" s="156"/>
      <c r="O21" s="155"/>
      <c r="P21" s="155"/>
      <c r="Q21" s="155"/>
      <c r="R21" s="155"/>
      <c r="S21" s="155"/>
      <c r="T21" s="155"/>
      <c r="U21" s="155"/>
      <c r="V21" s="155"/>
    </row>
    <row r="22" spans="6:23" ht="27" customHeight="1">
      <c r="F22" s="157"/>
      <c r="G22" s="151"/>
      <c r="H22" s="151"/>
      <c r="I22" s="151"/>
      <c r="J22" s="151"/>
      <c r="K22" s="151"/>
      <c r="L22" s="151"/>
      <c r="M22" s="151"/>
      <c r="N22" s="151"/>
      <c r="O22" s="151"/>
      <c r="P22" s="151"/>
      <c r="Q22" s="158"/>
      <c r="R22" s="158"/>
      <c r="S22" s="151"/>
      <c r="T22" s="151"/>
      <c r="U22" s="158"/>
      <c r="V22" s="158"/>
    </row>
    <row r="23" spans="6:23">
      <c r="F23" s="159"/>
      <c r="G23" s="160"/>
      <c r="H23" s="152"/>
      <c r="I23" s="161"/>
      <c r="J23" s="153"/>
      <c r="K23" s="162"/>
      <c r="L23" s="152"/>
      <c r="M23" s="163"/>
      <c r="N23" s="152"/>
      <c r="O23" s="163"/>
      <c r="P23" s="152"/>
      <c r="Q23" s="163"/>
      <c r="R23" s="100"/>
      <c r="S23" s="163"/>
      <c r="T23" s="152"/>
      <c r="U23" s="163"/>
      <c r="V23" s="100"/>
      <c r="W23" s="37"/>
    </row>
    <row r="24" spans="6:23">
      <c r="F24" s="164"/>
      <c r="G24" s="160"/>
      <c r="H24" s="152"/>
      <c r="I24" s="161"/>
      <c r="J24" s="153"/>
      <c r="K24" s="162"/>
      <c r="L24" s="152"/>
      <c r="M24" s="163"/>
      <c r="N24" s="152"/>
      <c r="O24" s="163"/>
      <c r="P24" s="152"/>
      <c r="Q24" s="152"/>
      <c r="R24" s="154"/>
      <c r="S24" s="163"/>
      <c r="T24" s="152"/>
      <c r="U24" s="152"/>
      <c r="V24" s="154"/>
      <c r="W24" s="37"/>
    </row>
    <row r="25" spans="6:23">
      <c r="F25" s="154"/>
      <c r="G25" s="154"/>
      <c r="H25" s="154"/>
      <c r="I25" s="154"/>
      <c r="J25" s="154"/>
      <c r="K25" s="162"/>
      <c r="L25" s="152"/>
      <c r="M25" s="163"/>
      <c r="N25" s="152"/>
      <c r="O25" s="163"/>
      <c r="P25" s="152"/>
      <c r="Q25" s="152"/>
      <c r="R25" s="154"/>
      <c r="S25" s="163"/>
      <c r="T25" s="152"/>
      <c r="U25" s="152"/>
      <c r="V25" s="154"/>
      <c r="W25" s="37"/>
    </row>
    <row r="26" spans="6:23">
      <c r="F26" s="154"/>
      <c r="G26" s="154"/>
      <c r="H26" s="154"/>
      <c r="I26" s="154"/>
      <c r="J26" s="154"/>
      <c r="K26" s="162"/>
      <c r="L26" s="152"/>
      <c r="M26" s="163"/>
      <c r="N26" s="152"/>
      <c r="O26" s="163"/>
      <c r="P26" s="152"/>
      <c r="Q26" s="152"/>
      <c r="R26" s="154"/>
      <c r="S26" s="163"/>
      <c r="T26" s="152"/>
      <c r="U26" s="152"/>
      <c r="V26" s="154"/>
    </row>
    <row r="27" spans="6:23">
      <c r="F27" s="154"/>
      <c r="G27" s="154"/>
      <c r="H27" s="154"/>
      <c r="I27" s="154"/>
      <c r="J27" s="154"/>
      <c r="K27" s="154"/>
      <c r="L27" s="154"/>
      <c r="M27" s="163"/>
      <c r="N27" s="152"/>
      <c r="O27" s="154"/>
      <c r="P27" s="154"/>
      <c r="Q27" s="154"/>
      <c r="R27" s="154"/>
      <c r="S27" s="154"/>
      <c r="T27" s="154"/>
      <c r="U27" s="154"/>
      <c r="V27" s="154"/>
    </row>
    <row r="28" spans="6:23">
      <c r="F28" s="154"/>
      <c r="G28" s="154"/>
      <c r="H28" s="154"/>
      <c r="I28" s="154"/>
      <c r="J28" s="154"/>
      <c r="K28" s="154"/>
      <c r="L28" s="154"/>
      <c r="M28" s="163"/>
      <c r="N28" s="152"/>
      <c r="O28" s="154"/>
      <c r="P28" s="154"/>
      <c r="Q28" s="154"/>
      <c r="R28" s="154"/>
      <c r="S28" s="154"/>
      <c r="T28" s="154"/>
      <c r="U28" s="154"/>
      <c r="V28" s="154"/>
      <c r="W28" s="37"/>
    </row>
  </sheetData>
  <sheetProtection algorithmName="SHA-512" hashValue="eAL7PmaY0fB26TzFzCI8hWokL79GtRtf1s0os0/jRnmHwSwQNw9ROUJhaQAAmdaMpHXPrmOvleL9bgKeVPb2bw==" saltValue="LJnFBexBk7zH3k7DzSSarw==" spinCount="100000" sheet="1" objects="1" scenarios="1"/>
  <mergeCells count="16">
    <mergeCell ref="G3:H3"/>
    <mergeCell ref="G4:H4"/>
    <mergeCell ref="I3:J3"/>
    <mergeCell ref="I4:J4"/>
    <mergeCell ref="K3:L3"/>
    <mergeCell ref="K4:L4"/>
    <mergeCell ref="U4:V4"/>
    <mergeCell ref="U3:V3"/>
    <mergeCell ref="M3:N3"/>
    <mergeCell ref="M4:N4"/>
    <mergeCell ref="S3:T3"/>
    <mergeCell ref="S4:T4"/>
    <mergeCell ref="O3:P3"/>
    <mergeCell ref="Q3:R3"/>
    <mergeCell ref="O4:P4"/>
    <mergeCell ref="Q4:R4"/>
  </mergeCells>
  <pageMargins left="0.7" right="0.7" top="0.75" bottom="0.75" header="0.3" footer="0.3"/>
  <ignoredErrors>
    <ignoredError sqref="M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sheetPr filterMode="1"/>
  <dimension ref="B1:Y58"/>
  <sheetViews>
    <sheetView workbookViewId="0">
      <selection activeCell="H28" sqref="H28"/>
    </sheetView>
  </sheetViews>
  <sheetFormatPr defaultRowHeight="13.5"/>
  <cols>
    <col min="2" max="2" width="16.140625" bestFit="1" customWidth="1"/>
    <col min="3" max="3" width="10.5703125" bestFit="1" customWidth="1"/>
    <col min="4" max="4" width="19.42578125" bestFit="1" customWidth="1"/>
    <col min="5" max="5" width="17.140625" bestFit="1" customWidth="1"/>
    <col min="6" max="6" width="11" bestFit="1" customWidth="1"/>
    <col min="7" max="7" width="18.42578125" bestFit="1" customWidth="1"/>
    <col min="8" max="8" width="10.5703125" bestFit="1" customWidth="1"/>
    <col min="9" max="9" width="26.85546875" customWidth="1"/>
    <col min="10" max="10" width="14.85546875" customWidth="1"/>
    <col min="11" max="11" width="32.28515625" customWidth="1"/>
    <col min="12" max="12" width="10.7109375" bestFit="1" customWidth="1"/>
    <col min="13" max="13" width="27.85546875" bestFit="1" customWidth="1"/>
    <col min="14" max="14" width="34.5703125" bestFit="1" customWidth="1"/>
    <col min="15" max="15" width="25.85546875" bestFit="1" customWidth="1"/>
    <col min="16" max="16" width="28.7109375" bestFit="1" customWidth="1"/>
    <col min="17" max="17" width="15.85546875" bestFit="1" customWidth="1"/>
    <col min="18" max="18" width="22.7109375" bestFit="1" customWidth="1"/>
    <col min="19" max="19" width="21.7109375" bestFit="1" customWidth="1"/>
    <col min="20" max="20" width="37" bestFit="1" customWidth="1"/>
    <col min="21" max="21" width="26.85546875" bestFit="1" customWidth="1"/>
    <col min="22" max="22" width="32.140625" bestFit="1" customWidth="1"/>
    <col min="23" max="23" width="30.7109375" bestFit="1" customWidth="1"/>
    <col min="24" max="24" width="38.5703125" bestFit="1" customWidth="1"/>
    <col min="25" max="25" width="15.140625" bestFit="1" customWidth="1"/>
  </cols>
  <sheetData>
    <row r="1" spans="2: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row>
    <row r="2" spans="2:25">
      <c r="B2" t="s">
        <v>75</v>
      </c>
      <c r="C2" t="s">
        <v>36</v>
      </c>
      <c r="D2" t="s">
        <v>37</v>
      </c>
      <c r="E2" t="s">
        <v>38</v>
      </c>
      <c r="F2" t="s">
        <v>39</v>
      </c>
      <c r="G2" t="s">
        <v>27</v>
      </c>
      <c r="H2" t="s">
        <v>1</v>
      </c>
      <c r="I2" t="s">
        <v>40</v>
      </c>
      <c r="J2" t="s">
        <v>35</v>
      </c>
      <c r="K2" t="s">
        <v>41</v>
      </c>
      <c r="L2" t="s">
        <v>32</v>
      </c>
      <c r="M2" t="s">
        <v>26</v>
      </c>
      <c r="N2" t="s">
        <v>25</v>
      </c>
      <c r="O2" t="s">
        <v>77</v>
      </c>
      <c r="P2" t="s">
        <v>78</v>
      </c>
      <c r="Q2" t="s">
        <v>18</v>
      </c>
      <c r="R2" t="s">
        <v>21</v>
      </c>
      <c r="S2" t="s">
        <v>13</v>
      </c>
      <c r="T2" t="s">
        <v>14</v>
      </c>
      <c r="U2" t="s">
        <v>15</v>
      </c>
      <c r="V2" t="s">
        <v>19</v>
      </c>
      <c r="W2" t="s">
        <v>20</v>
      </c>
      <c r="X2" t="s">
        <v>76</v>
      </c>
      <c r="Y2" t="s">
        <v>118</v>
      </c>
    </row>
    <row r="3" spans="2:25" hidden="1">
      <c r="B3" t="s">
        <v>154</v>
      </c>
      <c r="C3" t="s">
        <v>214</v>
      </c>
      <c r="D3" t="s">
        <v>91</v>
      </c>
      <c r="E3" t="s">
        <v>100</v>
      </c>
      <c r="F3" t="s">
        <v>215</v>
      </c>
      <c r="G3" t="s">
        <v>215</v>
      </c>
      <c r="H3">
        <v>2</v>
      </c>
      <c r="I3" t="s">
        <v>110</v>
      </c>
      <c r="J3" t="s">
        <v>55</v>
      </c>
      <c r="K3" t="s">
        <v>48</v>
      </c>
      <c r="L3">
        <v>1</v>
      </c>
      <c r="M3" t="s">
        <v>215</v>
      </c>
      <c r="N3" t="s">
        <v>215</v>
      </c>
      <c r="O3" t="s">
        <v>17</v>
      </c>
      <c r="P3">
        <v>3.9</v>
      </c>
      <c r="Q3" t="s">
        <v>216</v>
      </c>
      <c r="R3">
        <v>85</v>
      </c>
      <c r="S3" t="s">
        <v>112</v>
      </c>
      <c r="T3" t="s">
        <v>24</v>
      </c>
      <c r="U3" t="s">
        <v>80</v>
      </c>
      <c r="V3" t="s">
        <v>215</v>
      </c>
      <c r="W3" t="s">
        <v>215</v>
      </c>
      <c r="X3">
        <v>1</v>
      </c>
      <c r="Y3" t="s">
        <v>115</v>
      </c>
    </row>
    <row r="4" spans="2:25">
      <c r="B4" t="s">
        <v>155</v>
      </c>
      <c r="C4" t="s">
        <v>214</v>
      </c>
      <c r="D4" t="s">
        <v>91</v>
      </c>
      <c r="E4" t="s">
        <v>100</v>
      </c>
      <c r="F4" t="s">
        <v>215</v>
      </c>
      <c r="G4" t="s">
        <v>215</v>
      </c>
      <c r="H4">
        <v>2</v>
      </c>
      <c r="I4" t="s">
        <v>110</v>
      </c>
      <c r="J4" t="s">
        <v>55</v>
      </c>
      <c r="K4" t="s">
        <v>33</v>
      </c>
      <c r="L4">
        <v>1</v>
      </c>
      <c r="M4" t="s">
        <v>215</v>
      </c>
      <c r="N4" t="s">
        <v>215</v>
      </c>
      <c r="O4" t="s">
        <v>17</v>
      </c>
      <c r="P4">
        <v>2.6</v>
      </c>
      <c r="Q4" t="s">
        <v>216</v>
      </c>
      <c r="R4">
        <v>85</v>
      </c>
      <c r="S4" t="s">
        <v>113</v>
      </c>
      <c r="T4" t="s">
        <v>24</v>
      </c>
      <c r="U4" t="s">
        <v>80</v>
      </c>
      <c r="V4" t="s">
        <v>215</v>
      </c>
      <c r="W4" t="s">
        <v>215</v>
      </c>
      <c r="X4">
        <v>1</v>
      </c>
      <c r="Y4" t="s">
        <v>115</v>
      </c>
    </row>
    <row r="5" spans="2:25" hidden="1">
      <c r="B5" t="s">
        <v>156</v>
      </c>
      <c r="C5" t="s">
        <v>214</v>
      </c>
      <c r="D5" t="s">
        <v>91</v>
      </c>
      <c r="E5" t="s">
        <v>100</v>
      </c>
      <c r="F5" t="s">
        <v>215</v>
      </c>
      <c r="G5" t="s">
        <v>215</v>
      </c>
      <c r="H5">
        <v>2</v>
      </c>
      <c r="I5" t="s">
        <v>111</v>
      </c>
      <c r="J5" t="s">
        <v>55</v>
      </c>
      <c r="K5" t="s">
        <v>48</v>
      </c>
      <c r="L5">
        <v>1</v>
      </c>
      <c r="M5" t="s">
        <v>215</v>
      </c>
      <c r="N5" t="s">
        <v>215</v>
      </c>
      <c r="O5" t="s">
        <v>17</v>
      </c>
      <c r="P5">
        <v>3.9</v>
      </c>
      <c r="Q5" t="s">
        <v>216</v>
      </c>
      <c r="R5">
        <v>85</v>
      </c>
      <c r="S5" t="s">
        <v>112</v>
      </c>
      <c r="T5" t="s">
        <v>24</v>
      </c>
      <c r="U5" t="s">
        <v>80</v>
      </c>
      <c r="V5" t="s">
        <v>215</v>
      </c>
      <c r="W5" t="s">
        <v>215</v>
      </c>
      <c r="X5">
        <v>1</v>
      </c>
      <c r="Y5" t="s">
        <v>115</v>
      </c>
    </row>
    <row r="6" spans="2:25">
      <c r="B6" t="s">
        <v>157</v>
      </c>
      <c r="C6" t="s">
        <v>214</v>
      </c>
      <c r="D6" t="s">
        <v>91</v>
      </c>
      <c r="E6" t="s">
        <v>100</v>
      </c>
      <c r="F6" t="s">
        <v>215</v>
      </c>
      <c r="G6" t="s">
        <v>215</v>
      </c>
      <c r="H6">
        <v>2</v>
      </c>
      <c r="I6" t="s">
        <v>111</v>
      </c>
      <c r="J6" t="s">
        <v>55</v>
      </c>
      <c r="K6" t="s">
        <v>33</v>
      </c>
      <c r="L6">
        <v>1</v>
      </c>
      <c r="M6" t="s">
        <v>215</v>
      </c>
      <c r="N6" t="s">
        <v>215</v>
      </c>
      <c r="O6" t="s">
        <v>17</v>
      </c>
      <c r="P6">
        <v>2.6</v>
      </c>
      <c r="Q6" t="s">
        <v>216</v>
      </c>
      <c r="R6">
        <v>85</v>
      </c>
      <c r="S6" t="s">
        <v>113</v>
      </c>
      <c r="T6" t="s">
        <v>24</v>
      </c>
      <c r="U6" t="s">
        <v>80</v>
      </c>
      <c r="V6" t="s">
        <v>215</v>
      </c>
      <c r="W6" t="s">
        <v>215</v>
      </c>
      <c r="X6">
        <v>1</v>
      </c>
      <c r="Y6" t="s">
        <v>115</v>
      </c>
    </row>
    <row r="7" spans="2:25">
      <c r="B7" t="s">
        <v>158</v>
      </c>
      <c r="C7" t="s">
        <v>214</v>
      </c>
      <c r="D7" t="s">
        <v>91</v>
      </c>
      <c r="E7" t="s">
        <v>100</v>
      </c>
      <c r="F7" t="s">
        <v>215</v>
      </c>
      <c r="G7" t="s">
        <v>215</v>
      </c>
      <c r="H7">
        <v>2</v>
      </c>
      <c r="I7" t="s">
        <v>110</v>
      </c>
      <c r="J7" t="s">
        <v>22</v>
      </c>
      <c r="K7" t="s">
        <v>33</v>
      </c>
      <c r="L7">
        <v>1</v>
      </c>
      <c r="M7" t="s">
        <v>215</v>
      </c>
      <c r="N7" t="s">
        <v>215</v>
      </c>
      <c r="O7" t="s">
        <v>17</v>
      </c>
      <c r="P7">
        <v>2.6</v>
      </c>
      <c r="Q7" t="s">
        <v>216</v>
      </c>
      <c r="R7">
        <v>85</v>
      </c>
      <c r="S7" t="s">
        <v>113</v>
      </c>
      <c r="T7" t="s">
        <v>24</v>
      </c>
      <c r="U7" t="s">
        <v>80</v>
      </c>
      <c r="V7" t="s">
        <v>215</v>
      </c>
      <c r="W7" t="s">
        <v>215</v>
      </c>
      <c r="X7">
        <v>1</v>
      </c>
      <c r="Y7" t="s">
        <v>115</v>
      </c>
    </row>
    <row r="8" spans="2:25">
      <c r="B8" t="s">
        <v>159</v>
      </c>
      <c r="C8" t="s">
        <v>214</v>
      </c>
      <c r="D8" t="s">
        <v>91</v>
      </c>
      <c r="E8" t="s">
        <v>100</v>
      </c>
      <c r="F8" t="s">
        <v>215</v>
      </c>
      <c r="G8" t="s">
        <v>215</v>
      </c>
      <c r="H8">
        <v>2</v>
      </c>
      <c r="I8" t="s">
        <v>111</v>
      </c>
      <c r="J8" t="s">
        <v>22</v>
      </c>
      <c r="K8" t="s">
        <v>33</v>
      </c>
      <c r="L8">
        <v>1</v>
      </c>
      <c r="M8" t="s">
        <v>215</v>
      </c>
      <c r="N8" t="s">
        <v>215</v>
      </c>
      <c r="O8" t="s">
        <v>17</v>
      </c>
      <c r="P8">
        <v>2.6</v>
      </c>
      <c r="Q8" t="s">
        <v>216</v>
      </c>
      <c r="R8">
        <v>85</v>
      </c>
      <c r="S8" t="s">
        <v>113</v>
      </c>
      <c r="T8" t="s">
        <v>24</v>
      </c>
      <c r="U8" t="s">
        <v>80</v>
      </c>
      <c r="V8" t="s">
        <v>215</v>
      </c>
      <c r="W8" t="s">
        <v>215</v>
      </c>
      <c r="X8">
        <v>1</v>
      </c>
      <c r="Y8" t="s">
        <v>115</v>
      </c>
    </row>
    <row r="9" spans="2:25">
      <c r="B9" t="s">
        <v>160</v>
      </c>
      <c r="C9" t="s">
        <v>214</v>
      </c>
      <c r="D9" t="s">
        <v>91</v>
      </c>
      <c r="E9" t="s">
        <v>100</v>
      </c>
      <c r="F9" t="s">
        <v>215</v>
      </c>
      <c r="G9" t="s">
        <v>215</v>
      </c>
      <c r="H9">
        <v>2</v>
      </c>
      <c r="I9" t="s">
        <v>110</v>
      </c>
      <c r="J9" t="s">
        <v>79</v>
      </c>
      <c r="K9" t="s">
        <v>33</v>
      </c>
      <c r="L9">
        <v>1</v>
      </c>
      <c r="M9" t="s">
        <v>215</v>
      </c>
      <c r="N9" t="s">
        <v>215</v>
      </c>
      <c r="O9" t="s">
        <v>17</v>
      </c>
      <c r="P9">
        <v>2.6</v>
      </c>
      <c r="Q9" t="s">
        <v>216</v>
      </c>
      <c r="R9">
        <v>85</v>
      </c>
      <c r="S9" t="s">
        <v>113</v>
      </c>
      <c r="T9" t="s">
        <v>24</v>
      </c>
      <c r="U9" t="s">
        <v>80</v>
      </c>
      <c r="V9" t="s">
        <v>215</v>
      </c>
      <c r="W9" t="s">
        <v>215</v>
      </c>
      <c r="X9">
        <v>1</v>
      </c>
      <c r="Y9" t="s">
        <v>115</v>
      </c>
    </row>
    <row r="10" spans="2:25">
      <c r="B10" t="s">
        <v>161</v>
      </c>
      <c r="C10" t="s">
        <v>214</v>
      </c>
      <c r="D10" t="s">
        <v>91</v>
      </c>
      <c r="E10" t="s">
        <v>100</v>
      </c>
      <c r="F10" t="s">
        <v>215</v>
      </c>
      <c r="G10" t="s">
        <v>215</v>
      </c>
      <c r="H10">
        <v>2</v>
      </c>
      <c r="I10" t="s">
        <v>111</v>
      </c>
      <c r="J10" t="s">
        <v>79</v>
      </c>
      <c r="K10" t="s">
        <v>33</v>
      </c>
      <c r="L10">
        <v>1</v>
      </c>
      <c r="M10" t="s">
        <v>215</v>
      </c>
      <c r="N10" t="s">
        <v>215</v>
      </c>
      <c r="O10" t="s">
        <v>17</v>
      </c>
      <c r="P10">
        <v>2.6</v>
      </c>
      <c r="Q10" t="s">
        <v>216</v>
      </c>
      <c r="R10">
        <v>85</v>
      </c>
      <c r="S10" t="s">
        <v>113</v>
      </c>
      <c r="T10" t="s">
        <v>24</v>
      </c>
      <c r="U10" t="s">
        <v>80</v>
      </c>
      <c r="V10" t="s">
        <v>215</v>
      </c>
      <c r="W10" t="s">
        <v>215</v>
      </c>
      <c r="X10">
        <v>1</v>
      </c>
      <c r="Y10" t="s">
        <v>115</v>
      </c>
    </row>
    <row r="11" spans="2:25">
      <c r="B11" t="s">
        <v>162</v>
      </c>
      <c r="C11" t="s">
        <v>214</v>
      </c>
      <c r="D11" t="s">
        <v>91</v>
      </c>
      <c r="E11" t="s">
        <v>100</v>
      </c>
      <c r="F11" t="s">
        <v>215</v>
      </c>
      <c r="G11" t="s">
        <v>215</v>
      </c>
      <c r="H11">
        <v>2</v>
      </c>
      <c r="I11" t="s">
        <v>110</v>
      </c>
      <c r="J11" t="s">
        <v>210</v>
      </c>
      <c r="K11" t="s">
        <v>33</v>
      </c>
      <c r="L11">
        <v>1</v>
      </c>
      <c r="M11" t="s">
        <v>215</v>
      </c>
      <c r="N11" t="s">
        <v>215</v>
      </c>
      <c r="O11" t="s">
        <v>17</v>
      </c>
      <c r="P11">
        <v>2.6</v>
      </c>
      <c r="Q11" t="s">
        <v>216</v>
      </c>
      <c r="R11">
        <v>85</v>
      </c>
      <c r="S11" t="s">
        <v>113</v>
      </c>
      <c r="T11" t="s">
        <v>24</v>
      </c>
      <c r="U11" t="s">
        <v>80</v>
      </c>
      <c r="V11" t="s">
        <v>215</v>
      </c>
      <c r="W11" t="s">
        <v>215</v>
      </c>
      <c r="X11">
        <v>1</v>
      </c>
      <c r="Y11" t="s">
        <v>115</v>
      </c>
    </row>
    <row r="12" spans="2:25">
      <c r="B12" t="s">
        <v>163</v>
      </c>
      <c r="C12" t="s">
        <v>214</v>
      </c>
      <c r="D12" t="s">
        <v>91</v>
      </c>
      <c r="E12" t="s">
        <v>100</v>
      </c>
      <c r="F12" t="s">
        <v>215</v>
      </c>
      <c r="G12" t="s">
        <v>215</v>
      </c>
      <c r="H12">
        <v>2</v>
      </c>
      <c r="I12" t="s">
        <v>111</v>
      </c>
      <c r="J12" t="s">
        <v>210</v>
      </c>
      <c r="K12" t="s">
        <v>33</v>
      </c>
      <c r="L12">
        <v>1</v>
      </c>
      <c r="M12" t="s">
        <v>215</v>
      </c>
      <c r="N12" t="s">
        <v>215</v>
      </c>
      <c r="O12" t="s">
        <v>17</v>
      </c>
      <c r="P12">
        <v>2.6</v>
      </c>
      <c r="Q12" t="s">
        <v>216</v>
      </c>
      <c r="R12">
        <v>85</v>
      </c>
      <c r="S12" t="s">
        <v>113</v>
      </c>
      <c r="T12" t="s">
        <v>24</v>
      </c>
      <c r="U12" t="s">
        <v>80</v>
      </c>
      <c r="V12" t="s">
        <v>215</v>
      </c>
      <c r="W12" t="s">
        <v>215</v>
      </c>
      <c r="X12">
        <v>1</v>
      </c>
      <c r="Y12" t="s">
        <v>115</v>
      </c>
    </row>
    <row r="13" spans="2:25" hidden="1">
      <c r="B13" t="s">
        <v>164</v>
      </c>
      <c r="C13" t="s">
        <v>214</v>
      </c>
      <c r="D13" t="s">
        <v>91</v>
      </c>
      <c r="E13" t="s">
        <v>100</v>
      </c>
      <c r="F13" t="s">
        <v>215</v>
      </c>
      <c r="G13" t="s">
        <v>215</v>
      </c>
      <c r="H13">
        <v>3</v>
      </c>
      <c r="I13" t="s">
        <v>110</v>
      </c>
      <c r="J13" t="s">
        <v>55</v>
      </c>
      <c r="K13" t="s">
        <v>48</v>
      </c>
      <c r="L13">
        <v>1</v>
      </c>
      <c r="M13" t="s">
        <v>215</v>
      </c>
      <c r="N13" t="s">
        <v>215</v>
      </c>
      <c r="O13" t="s">
        <v>30</v>
      </c>
      <c r="P13">
        <v>5.8</v>
      </c>
      <c r="Q13" t="s">
        <v>217</v>
      </c>
      <c r="R13">
        <v>85</v>
      </c>
      <c r="S13" t="s">
        <v>112</v>
      </c>
      <c r="T13" t="s">
        <v>28</v>
      </c>
      <c r="U13" t="s">
        <v>80</v>
      </c>
      <c r="V13" t="s">
        <v>215</v>
      </c>
      <c r="W13" t="s">
        <v>215</v>
      </c>
      <c r="X13">
        <v>1</v>
      </c>
      <c r="Y13" t="s">
        <v>115</v>
      </c>
    </row>
    <row r="14" spans="2:25">
      <c r="B14" t="s">
        <v>165</v>
      </c>
      <c r="C14" t="s">
        <v>214</v>
      </c>
      <c r="D14" t="s">
        <v>91</v>
      </c>
      <c r="E14" t="s">
        <v>100</v>
      </c>
      <c r="F14" t="s">
        <v>215</v>
      </c>
      <c r="G14" t="s">
        <v>215</v>
      </c>
      <c r="H14">
        <v>3</v>
      </c>
      <c r="I14" t="s">
        <v>110</v>
      </c>
      <c r="J14" t="s">
        <v>55</v>
      </c>
      <c r="K14" t="s">
        <v>33</v>
      </c>
      <c r="L14">
        <v>1</v>
      </c>
      <c r="M14" t="s">
        <v>215</v>
      </c>
      <c r="N14" t="s">
        <v>215</v>
      </c>
      <c r="O14" t="s">
        <v>30</v>
      </c>
      <c r="P14">
        <v>3.9</v>
      </c>
      <c r="Q14" t="s">
        <v>217</v>
      </c>
      <c r="R14">
        <v>85</v>
      </c>
      <c r="S14" t="s">
        <v>113</v>
      </c>
      <c r="T14" t="s">
        <v>28</v>
      </c>
      <c r="U14" t="s">
        <v>80</v>
      </c>
      <c r="V14" t="s">
        <v>215</v>
      </c>
      <c r="W14" t="s">
        <v>215</v>
      </c>
      <c r="X14">
        <v>1</v>
      </c>
      <c r="Y14" t="s">
        <v>115</v>
      </c>
    </row>
    <row r="15" spans="2:25" hidden="1">
      <c r="B15" t="s">
        <v>166</v>
      </c>
      <c r="C15" t="s">
        <v>214</v>
      </c>
      <c r="D15" t="s">
        <v>91</v>
      </c>
      <c r="E15" t="s">
        <v>100</v>
      </c>
      <c r="F15" t="s">
        <v>215</v>
      </c>
      <c r="G15" t="s">
        <v>215</v>
      </c>
      <c r="H15">
        <v>3</v>
      </c>
      <c r="I15" t="s">
        <v>111</v>
      </c>
      <c r="J15" t="s">
        <v>55</v>
      </c>
      <c r="K15" t="s">
        <v>48</v>
      </c>
      <c r="L15">
        <v>1</v>
      </c>
      <c r="M15" t="s">
        <v>215</v>
      </c>
      <c r="N15" t="s">
        <v>215</v>
      </c>
      <c r="O15" t="s">
        <v>30</v>
      </c>
      <c r="P15">
        <v>5.8</v>
      </c>
      <c r="Q15" t="s">
        <v>217</v>
      </c>
      <c r="R15">
        <v>85</v>
      </c>
      <c r="S15" t="s">
        <v>112</v>
      </c>
      <c r="T15" t="s">
        <v>28</v>
      </c>
      <c r="U15" t="s">
        <v>80</v>
      </c>
      <c r="V15" t="s">
        <v>215</v>
      </c>
      <c r="W15" t="s">
        <v>215</v>
      </c>
      <c r="X15">
        <v>1</v>
      </c>
      <c r="Y15" t="s">
        <v>115</v>
      </c>
    </row>
    <row r="16" spans="2:25">
      <c r="B16" t="s">
        <v>167</v>
      </c>
      <c r="C16" t="s">
        <v>214</v>
      </c>
      <c r="D16" t="s">
        <v>91</v>
      </c>
      <c r="E16" t="s">
        <v>100</v>
      </c>
      <c r="F16" t="s">
        <v>215</v>
      </c>
      <c r="G16" t="s">
        <v>215</v>
      </c>
      <c r="H16">
        <v>3</v>
      </c>
      <c r="I16" t="s">
        <v>111</v>
      </c>
      <c r="J16" t="s">
        <v>55</v>
      </c>
      <c r="K16" t="s">
        <v>33</v>
      </c>
      <c r="L16">
        <v>1</v>
      </c>
      <c r="M16" t="s">
        <v>215</v>
      </c>
      <c r="N16" t="s">
        <v>215</v>
      </c>
      <c r="O16" t="s">
        <v>30</v>
      </c>
      <c r="P16">
        <v>3.9</v>
      </c>
      <c r="Q16" t="s">
        <v>217</v>
      </c>
      <c r="R16">
        <v>85</v>
      </c>
      <c r="S16" t="s">
        <v>113</v>
      </c>
      <c r="T16" t="s">
        <v>28</v>
      </c>
      <c r="U16" t="s">
        <v>80</v>
      </c>
      <c r="V16" t="s">
        <v>215</v>
      </c>
      <c r="W16" t="s">
        <v>215</v>
      </c>
      <c r="X16">
        <v>1</v>
      </c>
      <c r="Y16" t="s">
        <v>115</v>
      </c>
    </row>
    <row r="17" spans="2:25">
      <c r="B17" t="s">
        <v>168</v>
      </c>
      <c r="C17" t="s">
        <v>214</v>
      </c>
      <c r="D17" t="s">
        <v>91</v>
      </c>
      <c r="E17" t="s">
        <v>100</v>
      </c>
      <c r="F17" t="s">
        <v>215</v>
      </c>
      <c r="G17" t="s">
        <v>215</v>
      </c>
      <c r="H17">
        <v>3</v>
      </c>
      <c r="I17" t="s">
        <v>110</v>
      </c>
      <c r="J17" t="s">
        <v>22</v>
      </c>
      <c r="K17" t="s">
        <v>33</v>
      </c>
      <c r="L17">
        <v>1</v>
      </c>
      <c r="M17" t="s">
        <v>215</v>
      </c>
      <c r="N17" t="s">
        <v>215</v>
      </c>
      <c r="O17" t="s">
        <v>30</v>
      </c>
      <c r="P17">
        <v>3.9</v>
      </c>
      <c r="Q17" t="s">
        <v>217</v>
      </c>
      <c r="R17">
        <v>85</v>
      </c>
      <c r="S17" t="s">
        <v>113</v>
      </c>
      <c r="T17" t="s">
        <v>28</v>
      </c>
      <c r="U17" t="s">
        <v>80</v>
      </c>
      <c r="V17" t="s">
        <v>215</v>
      </c>
      <c r="W17" t="s">
        <v>215</v>
      </c>
      <c r="X17">
        <v>1</v>
      </c>
      <c r="Y17" t="s">
        <v>115</v>
      </c>
    </row>
    <row r="18" spans="2:25">
      <c r="B18" t="s">
        <v>169</v>
      </c>
      <c r="C18" t="s">
        <v>214</v>
      </c>
      <c r="D18" t="s">
        <v>91</v>
      </c>
      <c r="E18" t="s">
        <v>100</v>
      </c>
      <c r="F18" t="s">
        <v>215</v>
      </c>
      <c r="G18" t="s">
        <v>215</v>
      </c>
      <c r="H18">
        <v>3</v>
      </c>
      <c r="I18" t="s">
        <v>111</v>
      </c>
      <c r="J18" t="s">
        <v>22</v>
      </c>
      <c r="K18" t="s">
        <v>33</v>
      </c>
      <c r="L18">
        <v>1</v>
      </c>
      <c r="M18" t="s">
        <v>215</v>
      </c>
      <c r="N18" t="s">
        <v>215</v>
      </c>
      <c r="O18" t="s">
        <v>30</v>
      </c>
      <c r="P18">
        <v>3.9</v>
      </c>
      <c r="Q18" t="s">
        <v>217</v>
      </c>
      <c r="R18">
        <v>85</v>
      </c>
      <c r="S18" t="s">
        <v>113</v>
      </c>
      <c r="T18" t="s">
        <v>28</v>
      </c>
      <c r="U18" t="s">
        <v>80</v>
      </c>
      <c r="V18" t="s">
        <v>215</v>
      </c>
      <c r="W18" t="s">
        <v>215</v>
      </c>
      <c r="X18">
        <v>1</v>
      </c>
      <c r="Y18" t="s">
        <v>115</v>
      </c>
    </row>
    <row r="19" spans="2:25">
      <c r="B19" t="s">
        <v>170</v>
      </c>
      <c r="C19" t="s">
        <v>214</v>
      </c>
      <c r="D19" t="s">
        <v>91</v>
      </c>
      <c r="E19" t="s">
        <v>100</v>
      </c>
      <c r="F19" t="s">
        <v>215</v>
      </c>
      <c r="G19" t="s">
        <v>215</v>
      </c>
      <c r="H19">
        <v>3</v>
      </c>
      <c r="I19" t="s">
        <v>110</v>
      </c>
      <c r="J19" t="s">
        <v>79</v>
      </c>
      <c r="K19" t="s">
        <v>33</v>
      </c>
      <c r="L19">
        <v>1</v>
      </c>
      <c r="M19" t="s">
        <v>215</v>
      </c>
      <c r="N19" t="s">
        <v>215</v>
      </c>
      <c r="O19" t="s">
        <v>30</v>
      </c>
      <c r="P19">
        <v>3.9</v>
      </c>
      <c r="Q19" t="s">
        <v>217</v>
      </c>
      <c r="R19">
        <v>85</v>
      </c>
      <c r="S19" t="s">
        <v>113</v>
      </c>
      <c r="T19" t="s">
        <v>28</v>
      </c>
      <c r="U19" t="s">
        <v>80</v>
      </c>
      <c r="V19" t="s">
        <v>215</v>
      </c>
      <c r="W19" t="s">
        <v>215</v>
      </c>
      <c r="X19">
        <v>1</v>
      </c>
      <c r="Y19" t="s">
        <v>115</v>
      </c>
    </row>
    <row r="20" spans="2:25">
      <c r="B20" t="s">
        <v>171</v>
      </c>
      <c r="C20" t="s">
        <v>214</v>
      </c>
      <c r="D20" t="s">
        <v>91</v>
      </c>
      <c r="E20" t="s">
        <v>100</v>
      </c>
      <c r="F20" t="s">
        <v>215</v>
      </c>
      <c r="G20" t="s">
        <v>215</v>
      </c>
      <c r="H20">
        <v>3</v>
      </c>
      <c r="I20" t="s">
        <v>111</v>
      </c>
      <c r="J20" t="s">
        <v>79</v>
      </c>
      <c r="K20" t="s">
        <v>33</v>
      </c>
      <c r="L20">
        <v>1</v>
      </c>
      <c r="M20" t="s">
        <v>215</v>
      </c>
      <c r="N20" t="s">
        <v>215</v>
      </c>
      <c r="O20" t="s">
        <v>30</v>
      </c>
      <c r="P20">
        <v>3.9</v>
      </c>
      <c r="Q20" t="s">
        <v>217</v>
      </c>
      <c r="R20">
        <v>85</v>
      </c>
      <c r="S20" t="s">
        <v>113</v>
      </c>
      <c r="T20" t="s">
        <v>28</v>
      </c>
      <c r="U20" t="s">
        <v>80</v>
      </c>
      <c r="V20" t="s">
        <v>215</v>
      </c>
      <c r="W20" t="s">
        <v>215</v>
      </c>
      <c r="X20">
        <v>1</v>
      </c>
      <c r="Y20" t="s">
        <v>115</v>
      </c>
    </row>
    <row r="21" spans="2:25">
      <c r="B21" t="s">
        <v>172</v>
      </c>
      <c r="C21" t="s">
        <v>214</v>
      </c>
      <c r="D21" t="s">
        <v>91</v>
      </c>
      <c r="E21" t="s">
        <v>100</v>
      </c>
      <c r="F21" t="s">
        <v>215</v>
      </c>
      <c r="G21" t="s">
        <v>215</v>
      </c>
      <c r="H21">
        <v>3</v>
      </c>
      <c r="I21" t="s">
        <v>110</v>
      </c>
      <c r="J21" t="s">
        <v>210</v>
      </c>
      <c r="K21" t="s">
        <v>33</v>
      </c>
      <c r="L21">
        <v>1</v>
      </c>
      <c r="M21" t="s">
        <v>215</v>
      </c>
      <c r="N21" t="s">
        <v>215</v>
      </c>
      <c r="O21" t="s">
        <v>30</v>
      </c>
      <c r="P21">
        <v>3.9</v>
      </c>
      <c r="Q21" t="s">
        <v>217</v>
      </c>
      <c r="R21">
        <v>85</v>
      </c>
      <c r="S21" t="s">
        <v>113</v>
      </c>
      <c r="T21" t="s">
        <v>28</v>
      </c>
      <c r="U21" t="s">
        <v>80</v>
      </c>
      <c r="V21" t="s">
        <v>215</v>
      </c>
      <c r="W21" t="s">
        <v>215</v>
      </c>
      <c r="X21">
        <v>1</v>
      </c>
      <c r="Y21" t="s">
        <v>115</v>
      </c>
    </row>
    <row r="22" spans="2:25">
      <c r="B22" t="s">
        <v>173</v>
      </c>
      <c r="C22" t="s">
        <v>214</v>
      </c>
      <c r="D22" t="s">
        <v>91</v>
      </c>
      <c r="E22" t="s">
        <v>100</v>
      </c>
      <c r="F22" t="s">
        <v>215</v>
      </c>
      <c r="G22" t="s">
        <v>215</v>
      </c>
      <c r="H22">
        <v>3</v>
      </c>
      <c r="I22" t="s">
        <v>111</v>
      </c>
      <c r="J22" t="s">
        <v>210</v>
      </c>
      <c r="K22" t="s">
        <v>33</v>
      </c>
      <c r="L22">
        <v>1</v>
      </c>
      <c r="M22" t="s">
        <v>215</v>
      </c>
      <c r="N22" t="s">
        <v>215</v>
      </c>
      <c r="O22" t="s">
        <v>30</v>
      </c>
      <c r="P22">
        <v>3.9</v>
      </c>
      <c r="Q22" t="s">
        <v>217</v>
      </c>
      <c r="R22">
        <v>85</v>
      </c>
      <c r="S22" t="s">
        <v>113</v>
      </c>
      <c r="T22" t="s">
        <v>28</v>
      </c>
      <c r="U22" t="s">
        <v>80</v>
      </c>
      <c r="V22" t="s">
        <v>215</v>
      </c>
      <c r="W22" t="s">
        <v>215</v>
      </c>
      <c r="X22">
        <v>1</v>
      </c>
      <c r="Y22" t="s">
        <v>115</v>
      </c>
    </row>
    <row r="23" spans="2:25">
      <c r="B23" t="s">
        <v>174</v>
      </c>
      <c r="C23" t="s">
        <v>214</v>
      </c>
      <c r="D23" t="s">
        <v>91</v>
      </c>
      <c r="E23" t="s">
        <v>100</v>
      </c>
      <c r="F23" t="s">
        <v>215</v>
      </c>
      <c r="G23" t="s">
        <v>215</v>
      </c>
      <c r="H23">
        <v>3</v>
      </c>
      <c r="I23" t="s">
        <v>110</v>
      </c>
      <c r="J23" t="s">
        <v>211</v>
      </c>
      <c r="K23" t="s">
        <v>33</v>
      </c>
      <c r="L23">
        <v>1</v>
      </c>
      <c r="M23" t="s">
        <v>215</v>
      </c>
      <c r="N23" t="s">
        <v>215</v>
      </c>
      <c r="O23" t="s">
        <v>30</v>
      </c>
      <c r="P23">
        <v>3.9</v>
      </c>
      <c r="Q23" t="s">
        <v>217</v>
      </c>
      <c r="R23">
        <v>85</v>
      </c>
      <c r="S23" t="s">
        <v>113</v>
      </c>
      <c r="T23" t="s">
        <v>28</v>
      </c>
      <c r="U23" t="s">
        <v>80</v>
      </c>
      <c r="V23" t="s">
        <v>215</v>
      </c>
      <c r="W23" t="s">
        <v>215</v>
      </c>
      <c r="X23">
        <v>1</v>
      </c>
      <c r="Y23" t="s">
        <v>115</v>
      </c>
    </row>
    <row r="24" spans="2:25">
      <c r="B24" t="s">
        <v>175</v>
      </c>
      <c r="C24" t="s">
        <v>214</v>
      </c>
      <c r="D24" t="s">
        <v>91</v>
      </c>
      <c r="E24" t="s">
        <v>100</v>
      </c>
      <c r="F24" t="s">
        <v>215</v>
      </c>
      <c r="G24" t="s">
        <v>215</v>
      </c>
      <c r="H24">
        <v>3</v>
      </c>
      <c r="I24" t="s">
        <v>111</v>
      </c>
      <c r="J24" t="s">
        <v>211</v>
      </c>
      <c r="K24" t="s">
        <v>33</v>
      </c>
      <c r="L24">
        <v>1</v>
      </c>
      <c r="M24" t="s">
        <v>215</v>
      </c>
      <c r="N24" t="s">
        <v>215</v>
      </c>
      <c r="O24" t="s">
        <v>30</v>
      </c>
      <c r="P24">
        <v>3.9</v>
      </c>
      <c r="Q24" t="s">
        <v>217</v>
      </c>
      <c r="R24">
        <v>85</v>
      </c>
      <c r="S24" t="s">
        <v>113</v>
      </c>
      <c r="T24" t="s">
        <v>28</v>
      </c>
      <c r="U24" t="s">
        <v>80</v>
      </c>
      <c r="V24" t="s">
        <v>215</v>
      </c>
      <c r="W24" t="s">
        <v>215</v>
      </c>
      <c r="X24">
        <v>1</v>
      </c>
      <c r="Y24" t="s">
        <v>115</v>
      </c>
    </row>
    <row r="25" spans="2:25">
      <c r="B25" t="s">
        <v>176</v>
      </c>
      <c r="C25" t="s">
        <v>214</v>
      </c>
      <c r="D25" t="s">
        <v>91</v>
      </c>
      <c r="E25" t="s">
        <v>100</v>
      </c>
      <c r="F25" t="s">
        <v>215</v>
      </c>
      <c r="G25" t="s">
        <v>215</v>
      </c>
      <c r="H25">
        <v>3</v>
      </c>
      <c r="I25" t="s">
        <v>110</v>
      </c>
      <c r="J25" t="s">
        <v>212</v>
      </c>
      <c r="K25" t="s">
        <v>33</v>
      </c>
      <c r="L25">
        <v>1</v>
      </c>
      <c r="M25" t="s">
        <v>215</v>
      </c>
      <c r="N25" t="s">
        <v>215</v>
      </c>
      <c r="O25" t="s">
        <v>30</v>
      </c>
      <c r="P25">
        <v>3.9</v>
      </c>
      <c r="Q25" t="s">
        <v>217</v>
      </c>
      <c r="R25">
        <v>85</v>
      </c>
      <c r="S25" t="s">
        <v>113</v>
      </c>
      <c r="T25" t="s">
        <v>28</v>
      </c>
      <c r="U25" t="s">
        <v>80</v>
      </c>
      <c r="V25" t="s">
        <v>215</v>
      </c>
      <c r="W25" t="s">
        <v>215</v>
      </c>
      <c r="X25">
        <v>1</v>
      </c>
      <c r="Y25" t="s">
        <v>115</v>
      </c>
    </row>
    <row r="26" spans="2:25">
      <c r="B26" t="s">
        <v>177</v>
      </c>
      <c r="C26" t="s">
        <v>214</v>
      </c>
      <c r="D26" t="s">
        <v>91</v>
      </c>
      <c r="E26" t="s">
        <v>100</v>
      </c>
      <c r="F26" t="s">
        <v>215</v>
      </c>
      <c r="G26" t="s">
        <v>215</v>
      </c>
      <c r="H26">
        <v>3</v>
      </c>
      <c r="I26" t="s">
        <v>111</v>
      </c>
      <c r="J26" t="s">
        <v>212</v>
      </c>
      <c r="K26" t="s">
        <v>33</v>
      </c>
      <c r="L26">
        <v>1</v>
      </c>
      <c r="M26" t="s">
        <v>215</v>
      </c>
      <c r="N26" t="s">
        <v>215</v>
      </c>
      <c r="O26" t="s">
        <v>30</v>
      </c>
      <c r="P26">
        <v>3.9</v>
      </c>
      <c r="Q26" t="s">
        <v>217</v>
      </c>
      <c r="R26">
        <v>85</v>
      </c>
      <c r="S26" t="s">
        <v>113</v>
      </c>
      <c r="T26" t="s">
        <v>28</v>
      </c>
      <c r="U26" t="s">
        <v>80</v>
      </c>
      <c r="V26" t="s">
        <v>215</v>
      </c>
      <c r="W26" t="s">
        <v>215</v>
      </c>
      <c r="X26">
        <v>1</v>
      </c>
      <c r="Y26" t="s">
        <v>115</v>
      </c>
    </row>
    <row r="27" spans="2:25" hidden="1">
      <c r="B27" t="s">
        <v>178</v>
      </c>
      <c r="C27" t="s">
        <v>214</v>
      </c>
      <c r="D27" t="s">
        <v>91</v>
      </c>
      <c r="E27" t="s">
        <v>100</v>
      </c>
      <c r="F27" t="s">
        <v>215</v>
      </c>
      <c r="G27" t="s">
        <v>215</v>
      </c>
      <c r="H27">
        <v>4</v>
      </c>
      <c r="I27" t="s">
        <v>110</v>
      </c>
      <c r="J27" t="s">
        <v>55</v>
      </c>
      <c r="K27" t="s">
        <v>48</v>
      </c>
      <c r="L27">
        <v>1</v>
      </c>
      <c r="M27" t="s">
        <v>215</v>
      </c>
      <c r="N27" t="s">
        <v>215</v>
      </c>
      <c r="O27" t="s">
        <v>31</v>
      </c>
      <c r="P27">
        <v>8.6999999999999993</v>
      </c>
      <c r="Q27" t="s">
        <v>218</v>
      </c>
      <c r="R27">
        <v>85</v>
      </c>
      <c r="S27" t="s">
        <v>112</v>
      </c>
      <c r="T27" t="s">
        <v>29</v>
      </c>
      <c r="U27" t="s">
        <v>80</v>
      </c>
      <c r="V27" t="s">
        <v>215</v>
      </c>
      <c r="W27" t="s">
        <v>215</v>
      </c>
      <c r="X27">
        <v>1</v>
      </c>
      <c r="Y27" t="s">
        <v>115</v>
      </c>
    </row>
    <row r="28" spans="2:25">
      <c r="B28" t="s">
        <v>179</v>
      </c>
      <c r="C28" t="s">
        <v>214</v>
      </c>
      <c r="D28" t="s">
        <v>91</v>
      </c>
      <c r="E28" t="s">
        <v>100</v>
      </c>
      <c r="F28" t="s">
        <v>215</v>
      </c>
      <c r="G28" t="s">
        <v>215</v>
      </c>
      <c r="H28">
        <v>4</v>
      </c>
      <c r="I28" t="s">
        <v>110</v>
      </c>
      <c r="J28" t="s">
        <v>55</v>
      </c>
      <c r="K28" t="s">
        <v>33</v>
      </c>
      <c r="L28">
        <v>1</v>
      </c>
      <c r="M28" t="s">
        <v>215</v>
      </c>
      <c r="N28" t="s">
        <v>215</v>
      </c>
      <c r="O28" t="s">
        <v>31</v>
      </c>
      <c r="P28">
        <v>5.8</v>
      </c>
      <c r="Q28" t="s">
        <v>218</v>
      </c>
      <c r="R28">
        <v>85</v>
      </c>
      <c r="S28" t="s">
        <v>113</v>
      </c>
      <c r="T28" t="s">
        <v>29</v>
      </c>
      <c r="U28" t="s">
        <v>80</v>
      </c>
      <c r="V28" t="s">
        <v>215</v>
      </c>
      <c r="W28" t="s">
        <v>215</v>
      </c>
      <c r="X28">
        <v>1</v>
      </c>
      <c r="Y28" t="s">
        <v>115</v>
      </c>
    </row>
    <row r="29" spans="2:25" hidden="1">
      <c r="B29" t="s">
        <v>180</v>
      </c>
      <c r="C29" t="s">
        <v>214</v>
      </c>
      <c r="D29" t="s">
        <v>91</v>
      </c>
      <c r="E29" t="s">
        <v>100</v>
      </c>
      <c r="F29" t="s">
        <v>215</v>
      </c>
      <c r="G29" t="s">
        <v>215</v>
      </c>
      <c r="H29">
        <v>4</v>
      </c>
      <c r="I29" t="s">
        <v>111</v>
      </c>
      <c r="J29" t="s">
        <v>55</v>
      </c>
      <c r="K29" t="s">
        <v>48</v>
      </c>
      <c r="L29">
        <v>1</v>
      </c>
      <c r="M29" t="s">
        <v>215</v>
      </c>
      <c r="N29" t="s">
        <v>215</v>
      </c>
      <c r="O29" t="s">
        <v>31</v>
      </c>
      <c r="P29">
        <v>8.6999999999999993</v>
      </c>
      <c r="Q29" t="s">
        <v>218</v>
      </c>
      <c r="R29">
        <v>85</v>
      </c>
      <c r="S29" t="s">
        <v>112</v>
      </c>
      <c r="T29" t="s">
        <v>29</v>
      </c>
      <c r="U29" t="s">
        <v>80</v>
      </c>
      <c r="V29" t="s">
        <v>215</v>
      </c>
      <c r="W29" t="s">
        <v>215</v>
      </c>
      <c r="X29">
        <v>1</v>
      </c>
      <c r="Y29" t="s">
        <v>115</v>
      </c>
    </row>
    <row r="30" spans="2:25">
      <c r="B30" t="s">
        <v>181</v>
      </c>
      <c r="C30" t="s">
        <v>214</v>
      </c>
      <c r="D30" t="s">
        <v>91</v>
      </c>
      <c r="E30" t="s">
        <v>100</v>
      </c>
      <c r="F30" t="s">
        <v>215</v>
      </c>
      <c r="G30" t="s">
        <v>215</v>
      </c>
      <c r="H30">
        <v>4</v>
      </c>
      <c r="I30" t="s">
        <v>111</v>
      </c>
      <c r="J30" t="s">
        <v>55</v>
      </c>
      <c r="K30" t="s">
        <v>33</v>
      </c>
      <c r="L30">
        <v>1</v>
      </c>
      <c r="M30" t="s">
        <v>215</v>
      </c>
      <c r="N30" t="s">
        <v>215</v>
      </c>
      <c r="O30" t="s">
        <v>31</v>
      </c>
      <c r="P30">
        <v>5.8</v>
      </c>
      <c r="Q30" t="s">
        <v>218</v>
      </c>
      <c r="R30">
        <v>85</v>
      </c>
      <c r="S30" t="s">
        <v>113</v>
      </c>
      <c r="T30" t="s">
        <v>29</v>
      </c>
      <c r="U30" t="s">
        <v>80</v>
      </c>
      <c r="V30" t="s">
        <v>215</v>
      </c>
      <c r="W30" t="s">
        <v>215</v>
      </c>
      <c r="X30">
        <v>1</v>
      </c>
      <c r="Y30" t="s">
        <v>115</v>
      </c>
    </row>
    <row r="31" spans="2:25">
      <c r="B31" t="s">
        <v>182</v>
      </c>
      <c r="C31" t="s">
        <v>214</v>
      </c>
      <c r="D31" t="s">
        <v>91</v>
      </c>
      <c r="E31" t="s">
        <v>100</v>
      </c>
      <c r="F31" t="s">
        <v>215</v>
      </c>
      <c r="G31" t="s">
        <v>215</v>
      </c>
      <c r="H31">
        <v>4</v>
      </c>
      <c r="I31" t="s">
        <v>110</v>
      </c>
      <c r="J31" t="s">
        <v>22</v>
      </c>
      <c r="K31" t="s">
        <v>33</v>
      </c>
      <c r="L31">
        <v>1</v>
      </c>
      <c r="M31" t="s">
        <v>215</v>
      </c>
      <c r="N31" t="s">
        <v>215</v>
      </c>
      <c r="O31" t="s">
        <v>31</v>
      </c>
      <c r="P31">
        <v>5.8</v>
      </c>
      <c r="Q31" t="s">
        <v>218</v>
      </c>
      <c r="R31">
        <v>85</v>
      </c>
      <c r="S31" t="s">
        <v>113</v>
      </c>
      <c r="T31" t="s">
        <v>29</v>
      </c>
      <c r="U31" t="s">
        <v>80</v>
      </c>
      <c r="V31" t="s">
        <v>215</v>
      </c>
      <c r="W31" t="s">
        <v>215</v>
      </c>
      <c r="X31">
        <v>1</v>
      </c>
      <c r="Y31" t="s">
        <v>115</v>
      </c>
    </row>
    <row r="32" spans="2:25">
      <c r="B32" t="s">
        <v>183</v>
      </c>
      <c r="C32" t="s">
        <v>214</v>
      </c>
      <c r="D32" t="s">
        <v>91</v>
      </c>
      <c r="E32" t="s">
        <v>100</v>
      </c>
      <c r="F32" t="s">
        <v>215</v>
      </c>
      <c r="G32" t="s">
        <v>215</v>
      </c>
      <c r="H32">
        <v>4</v>
      </c>
      <c r="I32" t="s">
        <v>111</v>
      </c>
      <c r="J32" t="s">
        <v>22</v>
      </c>
      <c r="K32" t="s">
        <v>33</v>
      </c>
      <c r="L32">
        <v>1</v>
      </c>
      <c r="M32" t="s">
        <v>215</v>
      </c>
      <c r="N32" t="s">
        <v>215</v>
      </c>
      <c r="O32" t="s">
        <v>31</v>
      </c>
      <c r="P32">
        <v>5.8</v>
      </c>
      <c r="Q32" t="s">
        <v>218</v>
      </c>
      <c r="R32">
        <v>85</v>
      </c>
      <c r="S32" t="s">
        <v>113</v>
      </c>
      <c r="T32" t="s">
        <v>29</v>
      </c>
      <c r="U32" t="s">
        <v>80</v>
      </c>
      <c r="V32" t="s">
        <v>215</v>
      </c>
      <c r="W32" t="s">
        <v>215</v>
      </c>
      <c r="X32">
        <v>1</v>
      </c>
      <c r="Y32" t="s">
        <v>115</v>
      </c>
    </row>
    <row r="33" spans="2:25">
      <c r="B33" t="s">
        <v>184</v>
      </c>
      <c r="C33" t="s">
        <v>214</v>
      </c>
      <c r="D33" t="s">
        <v>91</v>
      </c>
      <c r="E33" t="s">
        <v>100</v>
      </c>
      <c r="F33" t="s">
        <v>215</v>
      </c>
      <c r="G33" t="s">
        <v>215</v>
      </c>
      <c r="H33">
        <v>4</v>
      </c>
      <c r="I33" t="s">
        <v>110</v>
      </c>
      <c r="J33" t="s">
        <v>79</v>
      </c>
      <c r="K33" t="s">
        <v>33</v>
      </c>
      <c r="L33">
        <v>1</v>
      </c>
      <c r="M33" t="s">
        <v>215</v>
      </c>
      <c r="N33" t="s">
        <v>215</v>
      </c>
      <c r="O33" t="s">
        <v>31</v>
      </c>
      <c r="P33">
        <v>5.8</v>
      </c>
      <c r="Q33" t="s">
        <v>218</v>
      </c>
      <c r="R33">
        <v>85</v>
      </c>
      <c r="S33" t="s">
        <v>113</v>
      </c>
      <c r="T33" t="s">
        <v>29</v>
      </c>
      <c r="U33" t="s">
        <v>80</v>
      </c>
      <c r="V33" t="s">
        <v>215</v>
      </c>
      <c r="W33" t="s">
        <v>215</v>
      </c>
      <c r="X33">
        <v>1</v>
      </c>
      <c r="Y33" t="s">
        <v>115</v>
      </c>
    </row>
    <row r="34" spans="2:25">
      <c r="B34" t="s">
        <v>185</v>
      </c>
      <c r="C34" t="s">
        <v>214</v>
      </c>
      <c r="D34" t="s">
        <v>91</v>
      </c>
      <c r="E34" t="s">
        <v>100</v>
      </c>
      <c r="F34" t="s">
        <v>215</v>
      </c>
      <c r="G34" t="s">
        <v>215</v>
      </c>
      <c r="H34">
        <v>4</v>
      </c>
      <c r="I34" t="s">
        <v>111</v>
      </c>
      <c r="J34" t="s">
        <v>79</v>
      </c>
      <c r="K34" t="s">
        <v>33</v>
      </c>
      <c r="L34">
        <v>1</v>
      </c>
      <c r="M34" t="s">
        <v>215</v>
      </c>
      <c r="N34" t="s">
        <v>215</v>
      </c>
      <c r="O34" t="s">
        <v>31</v>
      </c>
      <c r="P34">
        <v>5.8</v>
      </c>
      <c r="Q34" t="s">
        <v>218</v>
      </c>
      <c r="R34">
        <v>85</v>
      </c>
      <c r="S34" t="s">
        <v>113</v>
      </c>
      <c r="T34" t="s">
        <v>29</v>
      </c>
      <c r="U34" t="s">
        <v>80</v>
      </c>
      <c r="V34" t="s">
        <v>215</v>
      </c>
      <c r="W34" t="s">
        <v>215</v>
      </c>
      <c r="X34">
        <v>1</v>
      </c>
      <c r="Y34" t="s">
        <v>115</v>
      </c>
    </row>
    <row r="35" spans="2:25">
      <c r="B35" t="s">
        <v>186</v>
      </c>
      <c r="C35" t="s">
        <v>214</v>
      </c>
      <c r="D35" t="s">
        <v>91</v>
      </c>
      <c r="E35" t="s">
        <v>100</v>
      </c>
      <c r="F35" t="s">
        <v>215</v>
      </c>
      <c r="G35" t="s">
        <v>215</v>
      </c>
      <c r="H35">
        <v>4</v>
      </c>
      <c r="I35" t="s">
        <v>110</v>
      </c>
      <c r="J35" t="s">
        <v>210</v>
      </c>
      <c r="K35" t="s">
        <v>33</v>
      </c>
      <c r="L35">
        <v>1</v>
      </c>
      <c r="M35" t="s">
        <v>215</v>
      </c>
      <c r="N35" t="s">
        <v>215</v>
      </c>
      <c r="O35" t="s">
        <v>31</v>
      </c>
      <c r="P35">
        <v>5.8</v>
      </c>
      <c r="Q35" t="s">
        <v>218</v>
      </c>
      <c r="R35">
        <v>85</v>
      </c>
      <c r="S35" t="s">
        <v>113</v>
      </c>
      <c r="T35" t="s">
        <v>29</v>
      </c>
      <c r="U35" t="s">
        <v>80</v>
      </c>
      <c r="V35" t="s">
        <v>215</v>
      </c>
      <c r="W35" t="s">
        <v>215</v>
      </c>
      <c r="X35">
        <v>1</v>
      </c>
      <c r="Y35" t="s">
        <v>115</v>
      </c>
    </row>
    <row r="36" spans="2:25">
      <c r="B36" t="s">
        <v>187</v>
      </c>
      <c r="C36" t="s">
        <v>214</v>
      </c>
      <c r="D36" t="s">
        <v>91</v>
      </c>
      <c r="E36" t="s">
        <v>100</v>
      </c>
      <c r="F36" t="s">
        <v>215</v>
      </c>
      <c r="G36" t="s">
        <v>215</v>
      </c>
      <c r="H36">
        <v>4</v>
      </c>
      <c r="I36" t="s">
        <v>111</v>
      </c>
      <c r="J36" t="s">
        <v>210</v>
      </c>
      <c r="K36" t="s">
        <v>33</v>
      </c>
      <c r="L36">
        <v>1</v>
      </c>
      <c r="M36" t="s">
        <v>215</v>
      </c>
      <c r="N36" t="s">
        <v>215</v>
      </c>
      <c r="O36" t="s">
        <v>31</v>
      </c>
      <c r="P36">
        <v>5.8</v>
      </c>
      <c r="Q36" t="s">
        <v>218</v>
      </c>
      <c r="R36">
        <v>85</v>
      </c>
      <c r="S36" t="s">
        <v>113</v>
      </c>
      <c r="T36" t="s">
        <v>29</v>
      </c>
      <c r="U36" t="s">
        <v>80</v>
      </c>
      <c r="V36" t="s">
        <v>215</v>
      </c>
      <c r="W36" t="s">
        <v>215</v>
      </c>
      <c r="X36">
        <v>1</v>
      </c>
      <c r="Y36" t="s">
        <v>115</v>
      </c>
    </row>
    <row r="37" spans="2:25">
      <c r="B37" t="s">
        <v>188</v>
      </c>
      <c r="C37" t="s">
        <v>214</v>
      </c>
      <c r="D37" t="s">
        <v>91</v>
      </c>
      <c r="E37" t="s">
        <v>100</v>
      </c>
      <c r="F37" t="s">
        <v>215</v>
      </c>
      <c r="G37" t="s">
        <v>215</v>
      </c>
      <c r="H37">
        <v>4</v>
      </c>
      <c r="I37" t="s">
        <v>110</v>
      </c>
      <c r="J37" t="s">
        <v>211</v>
      </c>
      <c r="K37" t="s">
        <v>33</v>
      </c>
      <c r="L37">
        <v>1</v>
      </c>
      <c r="M37" t="s">
        <v>215</v>
      </c>
      <c r="N37" t="s">
        <v>215</v>
      </c>
      <c r="O37" t="s">
        <v>31</v>
      </c>
      <c r="P37">
        <v>5.8</v>
      </c>
      <c r="Q37" t="s">
        <v>218</v>
      </c>
      <c r="R37">
        <v>85</v>
      </c>
      <c r="S37" t="s">
        <v>113</v>
      </c>
      <c r="T37" t="s">
        <v>29</v>
      </c>
      <c r="U37" t="s">
        <v>80</v>
      </c>
      <c r="V37" t="s">
        <v>215</v>
      </c>
      <c r="W37" t="s">
        <v>215</v>
      </c>
      <c r="X37">
        <v>1</v>
      </c>
      <c r="Y37" t="s">
        <v>115</v>
      </c>
    </row>
    <row r="38" spans="2:25">
      <c r="B38" t="s">
        <v>189</v>
      </c>
      <c r="C38" t="s">
        <v>214</v>
      </c>
      <c r="D38" t="s">
        <v>91</v>
      </c>
      <c r="E38" t="s">
        <v>100</v>
      </c>
      <c r="F38" t="s">
        <v>215</v>
      </c>
      <c r="G38" t="s">
        <v>215</v>
      </c>
      <c r="H38">
        <v>4</v>
      </c>
      <c r="I38" t="s">
        <v>111</v>
      </c>
      <c r="J38" t="s">
        <v>211</v>
      </c>
      <c r="K38" t="s">
        <v>33</v>
      </c>
      <c r="L38">
        <v>1</v>
      </c>
      <c r="M38" t="s">
        <v>215</v>
      </c>
      <c r="N38" t="s">
        <v>215</v>
      </c>
      <c r="O38" t="s">
        <v>31</v>
      </c>
      <c r="P38">
        <v>5.8</v>
      </c>
      <c r="Q38" t="s">
        <v>218</v>
      </c>
      <c r="R38">
        <v>85</v>
      </c>
      <c r="S38" t="s">
        <v>113</v>
      </c>
      <c r="T38" t="s">
        <v>29</v>
      </c>
      <c r="U38" t="s">
        <v>80</v>
      </c>
      <c r="V38" t="s">
        <v>215</v>
      </c>
      <c r="W38" t="s">
        <v>215</v>
      </c>
      <c r="X38">
        <v>1</v>
      </c>
      <c r="Y38" t="s">
        <v>115</v>
      </c>
    </row>
    <row r="39" spans="2:25">
      <c r="B39" t="s">
        <v>190</v>
      </c>
      <c r="C39" t="s">
        <v>214</v>
      </c>
      <c r="D39" t="s">
        <v>91</v>
      </c>
      <c r="E39" t="s">
        <v>100</v>
      </c>
      <c r="F39" t="s">
        <v>215</v>
      </c>
      <c r="G39" t="s">
        <v>215</v>
      </c>
      <c r="H39">
        <v>4</v>
      </c>
      <c r="I39" t="s">
        <v>110</v>
      </c>
      <c r="J39" t="s">
        <v>212</v>
      </c>
      <c r="K39" t="s">
        <v>33</v>
      </c>
      <c r="L39">
        <v>1</v>
      </c>
      <c r="M39" t="s">
        <v>215</v>
      </c>
      <c r="N39" t="s">
        <v>215</v>
      </c>
      <c r="O39" t="s">
        <v>31</v>
      </c>
      <c r="P39">
        <v>5.8</v>
      </c>
      <c r="Q39" t="s">
        <v>218</v>
      </c>
      <c r="R39">
        <v>85</v>
      </c>
      <c r="S39" t="s">
        <v>113</v>
      </c>
      <c r="T39" t="s">
        <v>29</v>
      </c>
      <c r="U39" t="s">
        <v>80</v>
      </c>
      <c r="V39" t="s">
        <v>215</v>
      </c>
      <c r="W39" t="s">
        <v>215</v>
      </c>
      <c r="X39">
        <v>1</v>
      </c>
      <c r="Y39" t="s">
        <v>115</v>
      </c>
    </row>
    <row r="40" spans="2:25">
      <c r="B40" t="s">
        <v>191</v>
      </c>
      <c r="C40" t="s">
        <v>214</v>
      </c>
      <c r="D40" t="s">
        <v>91</v>
      </c>
      <c r="E40" t="s">
        <v>100</v>
      </c>
      <c r="F40" t="s">
        <v>215</v>
      </c>
      <c r="G40" t="s">
        <v>215</v>
      </c>
      <c r="H40">
        <v>4</v>
      </c>
      <c r="I40" t="s">
        <v>111</v>
      </c>
      <c r="J40" t="s">
        <v>212</v>
      </c>
      <c r="K40" t="s">
        <v>33</v>
      </c>
      <c r="L40">
        <v>1</v>
      </c>
      <c r="M40" t="s">
        <v>215</v>
      </c>
      <c r="N40" t="s">
        <v>215</v>
      </c>
      <c r="O40" t="s">
        <v>31</v>
      </c>
      <c r="P40">
        <v>5.8</v>
      </c>
      <c r="Q40" t="s">
        <v>218</v>
      </c>
      <c r="R40">
        <v>85</v>
      </c>
      <c r="S40" t="s">
        <v>113</v>
      </c>
      <c r="T40" t="s">
        <v>29</v>
      </c>
      <c r="U40" t="s">
        <v>80</v>
      </c>
      <c r="V40" t="s">
        <v>215</v>
      </c>
      <c r="W40" t="s">
        <v>215</v>
      </c>
      <c r="X40">
        <v>1</v>
      </c>
      <c r="Y40" t="s">
        <v>115</v>
      </c>
    </row>
    <row r="41" spans="2:25">
      <c r="B41" t="s">
        <v>192</v>
      </c>
      <c r="C41" t="s">
        <v>214</v>
      </c>
      <c r="D41" t="s">
        <v>91</v>
      </c>
      <c r="E41" t="s">
        <v>100</v>
      </c>
      <c r="F41" t="s">
        <v>215</v>
      </c>
      <c r="G41" t="s">
        <v>215</v>
      </c>
      <c r="H41">
        <v>4</v>
      </c>
      <c r="I41" t="s">
        <v>110</v>
      </c>
      <c r="J41" t="s">
        <v>213</v>
      </c>
      <c r="K41" t="s">
        <v>33</v>
      </c>
      <c r="L41">
        <v>1</v>
      </c>
      <c r="M41" t="s">
        <v>215</v>
      </c>
      <c r="N41" t="s">
        <v>215</v>
      </c>
      <c r="O41" t="s">
        <v>31</v>
      </c>
      <c r="P41">
        <v>5.8</v>
      </c>
      <c r="Q41" t="s">
        <v>218</v>
      </c>
      <c r="R41">
        <v>85</v>
      </c>
      <c r="S41" t="s">
        <v>113</v>
      </c>
      <c r="T41" t="s">
        <v>29</v>
      </c>
      <c r="U41" t="s">
        <v>80</v>
      </c>
      <c r="V41" t="s">
        <v>215</v>
      </c>
      <c r="W41" t="s">
        <v>215</v>
      </c>
      <c r="X41">
        <v>1</v>
      </c>
      <c r="Y41" t="s">
        <v>115</v>
      </c>
    </row>
    <row r="42" spans="2:25">
      <c r="B42" t="s">
        <v>193</v>
      </c>
      <c r="C42" t="s">
        <v>214</v>
      </c>
      <c r="D42" t="s">
        <v>91</v>
      </c>
      <c r="E42" t="s">
        <v>100</v>
      </c>
      <c r="F42" t="s">
        <v>215</v>
      </c>
      <c r="G42" t="s">
        <v>215</v>
      </c>
      <c r="H42">
        <v>4</v>
      </c>
      <c r="I42" t="s">
        <v>111</v>
      </c>
      <c r="J42" t="s">
        <v>213</v>
      </c>
      <c r="K42" t="s">
        <v>33</v>
      </c>
      <c r="L42">
        <v>1</v>
      </c>
      <c r="M42" t="s">
        <v>215</v>
      </c>
      <c r="N42" t="s">
        <v>215</v>
      </c>
      <c r="O42" t="s">
        <v>31</v>
      </c>
      <c r="P42">
        <v>5.8</v>
      </c>
      <c r="Q42" t="s">
        <v>218</v>
      </c>
      <c r="R42">
        <v>85</v>
      </c>
      <c r="S42" t="s">
        <v>113</v>
      </c>
      <c r="T42" t="s">
        <v>29</v>
      </c>
      <c r="U42" t="s">
        <v>80</v>
      </c>
      <c r="V42" t="s">
        <v>215</v>
      </c>
      <c r="W42" t="s">
        <v>215</v>
      </c>
      <c r="X42">
        <v>1</v>
      </c>
      <c r="Y42" t="s">
        <v>115</v>
      </c>
    </row>
    <row r="43" spans="2:25" hidden="1">
      <c r="B43" t="s">
        <v>194</v>
      </c>
      <c r="C43" t="s">
        <v>214</v>
      </c>
      <c r="D43" t="s">
        <v>91</v>
      </c>
      <c r="E43" t="s">
        <v>100</v>
      </c>
      <c r="F43" t="s">
        <v>215</v>
      </c>
      <c r="G43" t="s">
        <v>215</v>
      </c>
      <c r="H43">
        <v>5</v>
      </c>
      <c r="I43" t="s">
        <v>110</v>
      </c>
      <c r="J43" t="s">
        <v>55</v>
      </c>
      <c r="K43" t="s">
        <v>48</v>
      </c>
      <c r="L43">
        <v>1</v>
      </c>
      <c r="M43" t="s">
        <v>215</v>
      </c>
      <c r="N43" t="s">
        <v>215</v>
      </c>
      <c r="O43" t="s">
        <v>31</v>
      </c>
      <c r="P43">
        <v>8.6999999999999993</v>
      </c>
      <c r="Q43" t="s">
        <v>219</v>
      </c>
      <c r="R43">
        <v>100</v>
      </c>
      <c r="S43" t="s">
        <v>112</v>
      </c>
      <c r="T43" t="s">
        <v>29</v>
      </c>
      <c r="U43" t="s">
        <v>80</v>
      </c>
      <c r="V43" t="s">
        <v>215</v>
      </c>
      <c r="W43" t="s">
        <v>215</v>
      </c>
      <c r="X43">
        <v>1</v>
      </c>
      <c r="Y43" t="s">
        <v>115</v>
      </c>
    </row>
    <row r="44" spans="2:25">
      <c r="B44" t="s">
        <v>195</v>
      </c>
      <c r="C44" t="s">
        <v>214</v>
      </c>
      <c r="D44" t="s">
        <v>91</v>
      </c>
      <c r="E44" t="s">
        <v>100</v>
      </c>
      <c r="F44" t="s">
        <v>215</v>
      </c>
      <c r="G44" t="s">
        <v>215</v>
      </c>
      <c r="H44">
        <v>5</v>
      </c>
      <c r="I44" t="s">
        <v>110</v>
      </c>
      <c r="J44" t="s">
        <v>55</v>
      </c>
      <c r="K44" t="s">
        <v>33</v>
      </c>
      <c r="L44">
        <v>1</v>
      </c>
      <c r="M44" t="s">
        <v>215</v>
      </c>
      <c r="N44" t="s">
        <v>215</v>
      </c>
      <c r="O44" t="s">
        <v>31</v>
      </c>
      <c r="P44">
        <v>5.8</v>
      </c>
      <c r="Q44" t="s">
        <v>219</v>
      </c>
      <c r="R44">
        <v>100</v>
      </c>
      <c r="S44" t="s">
        <v>113</v>
      </c>
      <c r="T44" t="s">
        <v>29</v>
      </c>
      <c r="U44" t="s">
        <v>80</v>
      </c>
      <c r="V44" t="s">
        <v>215</v>
      </c>
      <c r="W44" t="s">
        <v>215</v>
      </c>
      <c r="X44">
        <v>1</v>
      </c>
      <c r="Y44" t="s">
        <v>115</v>
      </c>
    </row>
    <row r="45" spans="2:25" hidden="1">
      <c r="B45" t="s">
        <v>196</v>
      </c>
      <c r="C45" t="s">
        <v>214</v>
      </c>
      <c r="D45" t="s">
        <v>91</v>
      </c>
      <c r="E45" t="s">
        <v>100</v>
      </c>
      <c r="F45" t="s">
        <v>215</v>
      </c>
      <c r="G45" t="s">
        <v>215</v>
      </c>
      <c r="H45">
        <v>5</v>
      </c>
      <c r="I45" t="s">
        <v>111</v>
      </c>
      <c r="J45" t="s">
        <v>55</v>
      </c>
      <c r="K45" t="s">
        <v>48</v>
      </c>
      <c r="L45">
        <v>1</v>
      </c>
      <c r="M45" t="s">
        <v>215</v>
      </c>
      <c r="N45" t="s">
        <v>215</v>
      </c>
      <c r="O45" t="s">
        <v>31</v>
      </c>
      <c r="P45">
        <v>8.6999999999999993</v>
      </c>
      <c r="Q45" t="s">
        <v>219</v>
      </c>
      <c r="R45">
        <v>100</v>
      </c>
      <c r="S45" t="s">
        <v>112</v>
      </c>
      <c r="T45" t="s">
        <v>29</v>
      </c>
      <c r="U45" t="s">
        <v>80</v>
      </c>
      <c r="V45" t="s">
        <v>215</v>
      </c>
      <c r="W45" t="s">
        <v>215</v>
      </c>
      <c r="X45">
        <v>1</v>
      </c>
      <c r="Y45" t="s">
        <v>115</v>
      </c>
    </row>
    <row r="46" spans="2:25">
      <c r="B46" t="s">
        <v>197</v>
      </c>
      <c r="C46" t="s">
        <v>214</v>
      </c>
      <c r="D46" t="s">
        <v>91</v>
      </c>
      <c r="E46" t="s">
        <v>100</v>
      </c>
      <c r="F46" t="s">
        <v>215</v>
      </c>
      <c r="G46" t="s">
        <v>215</v>
      </c>
      <c r="H46">
        <v>5</v>
      </c>
      <c r="I46" t="s">
        <v>111</v>
      </c>
      <c r="J46" t="s">
        <v>55</v>
      </c>
      <c r="K46" t="s">
        <v>33</v>
      </c>
      <c r="L46">
        <v>1</v>
      </c>
      <c r="M46" t="s">
        <v>215</v>
      </c>
      <c r="N46" t="s">
        <v>215</v>
      </c>
      <c r="O46" t="s">
        <v>31</v>
      </c>
      <c r="P46">
        <v>5.8</v>
      </c>
      <c r="Q46" t="s">
        <v>219</v>
      </c>
      <c r="R46">
        <v>100</v>
      </c>
      <c r="S46" t="s">
        <v>113</v>
      </c>
      <c r="T46" t="s">
        <v>29</v>
      </c>
      <c r="U46" t="s">
        <v>80</v>
      </c>
      <c r="V46" t="s">
        <v>215</v>
      </c>
      <c r="W46" t="s">
        <v>215</v>
      </c>
      <c r="X46">
        <v>1</v>
      </c>
      <c r="Y46" t="s">
        <v>115</v>
      </c>
    </row>
    <row r="47" spans="2:25">
      <c r="B47" t="s">
        <v>198</v>
      </c>
      <c r="C47" t="s">
        <v>214</v>
      </c>
      <c r="D47" t="s">
        <v>91</v>
      </c>
      <c r="E47" t="s">
        <v>100</v>
      </c>
      <c r="F47" t="s">
        <v>215</v>
      </c>
      <c r="G47" t="s">
        <v>215</v>
      </c>
      <c r="H47">
        <v>5</v>
      </c>
      <c r="I47" t="s">
        <v>110</v>
      </c>
      <c r="J47" t="s">
        <v>22</v>
      </c>
      <c r="K47" t="s">
        <v>33</v>
      </c>
      <c r="L47">
        <v>1</v>
      </c>
      <c r="M47" t="s">
        <v>215</v>
      </c>
      <c r="N47" t="s">
        <v>215</v>
      </c>
      <c r="O47" t="s">
        <v>31</v>
      </c>
      <c r="P47">
        <v>5.8</v>
      </c>
      <c r="Q47" t="s">
        <v>219</v>
      </c>
      <c r="R47">
        <v>100</v>
      </c>
      <c r="S47" t="s">
        <v>113</v>
      </c>
      <c r="T47" t="s">
        <v>29</v>
      </c>
      <c r="U47" t="s">
        <v>80</v>
      </c>
      <c r="V47" t="s">
        <v>215</v>
      </c>
      <c r="W47" t="s">
        <v>215</v>
      </c>
      <c r="X47">
        <v>1</v>
      </c>
      <c r="Y47" t="s">
        <v>115</v>
      </c>
    </row>
    <row r="48" spans="2:25">
      <c r="B48" t="s">
        <v>199</v>
      </c>
      <c r="C48" t="s">
        <v>214</v>
      </c>
      <c r="D48" t="s">
        <v>91</v>
      </c>
      <c r="E48" t="s">
        <v>100</v>
      </c>
      <c r="F48" t="s">
        <v>215</v>
      </c>
      <c r="G48" t="s">
        <v>215</v>
      </c>
      <c r="H48">
        <v>5</v>
      </c>
      <c r="I48" t="s">
        <v>111</v>
      </c>
      <c r="J48" t="s">
        <v>22</v>
      </c>
      <c r="K48" t="s">
        <v>33</v>
      </c>
      <c r="L48">
        <v>1</v>
      </c>
      <c r="M48" t="s">
        <v>215</v>
      </c>
      <c r="N48" t="s">
        <v>215</v>
      </c>
      <c r="O48" t="s">
        <v>31</v>
      </c>
      <c r="P48">
        <v>5.8</v>
      </c>
      <c r="Q48" t="s">
        <v>219</v>
      </c>
      <c r="R48">
        <v>100</v>
      </c>
      <c r="S48" t="s">
        <v>113</v>
      </c>
      <c r="T48" t="s">
        <v>29</v>
      </c>
      <c r="U48" t="s">
        <v>80</v>
      </c>
      <c r="V48" t="s">
        <v>215</v>
      </c>
      <c r="W48" t="s">
        <v>215</v>
      </c>
      <c r="X48">
        <v>1</v>
      </c>
      <c r="Y48" t="s">
        <v>115</v>
      </c>
    </row>
    <row r="49" spans="2:25">
      <c r="B49" t="s">
        <v>200</v>
      </c>
      <c r="C49" t="s">
        <v>214</v>
      </c>
      <c r="D49" t="s">
        <v>91</v>
      </c>
      <c r="E49" t="s">
        <v>100</v>
      </c>
      <c r="F49" t="s">
        <v>215</v>
      </c>
      <c r="G49" t="s">
        <v>215</v>
      </c>
      <c r="H49">
        <v>5</v>
      </c>
      <c r="I49" t="s">
        <v>110</v>
      </c>
      <c r="J49" t="s">
        <v>79</v>
      </c>
      <c r="K49" t="s">
        <v>33</v>
      </c>
      <c r="L49">
        <v>1</v>
      </c>
      <c r="M49" t="s">
        <v>215</v>
      </c>
      <c r="N49" t="s">
        <v>215</v>
      </c>
      <c r="O49" t="s">
        <v>31</v>
      </c>
      <c r="P49">
        <v>5.8</v>
      </c>
      <c r="Q49" t="s">
        <v>219</v>
      </c>
      <c r="R49">
        <v>100</v>
      </c>
      <c r="S49" t="s">
        <v>113</v>
      </c>
      <c r="T49" t="s">
        <v>29</v>
      </c>
      <c r="U49" t="s">
        <v>80</v>
      </c>
      <c r="V49" t="s">
        <v>215</v>
      </c>
      <c r="W49" t="s">
        <v>215</v>
      </c>
      <c r="X49">
        <v>1</v>
      </c>
      <c r="Y49" t="s">
        <v>115</v>
      </c>
    </row>
    <row r="50" spans="2:25">
      <c r="B50" t="s">
        <v>201</v>
      </c>
      <c r="C50" t="s">
        <v>214</v>
      </c>
      <c r="D50" t="s">
        <v>91</v>
      </c>
      <c r="E50" t="s">
        <v>100</v>
      </c>
      <c r="F50" t="s">
        <v>215</v>
      </c>
      <c r="G50" t="s">
        <v>215</v>
      </c>
      <c r="H50">
        <v>5</v>
      </c>
      <c r="I50" t="s">
        <v>111</v>
      </c>
      <c r="J50" t="s">
        <v>79</v>
      </c>
      <c r="K50" t="s">
        <v>33</v>
      </c>
      <c r="L50">
        <v>1</v>
      </c>
      <c r="M50" t="s">
        <v>215</v>
      </c>
      <c r="N50" t="s">
        <v>215</v>
      </c>
      <c r="O50" t="s">
        <v>31</v>
      </c>
      <c r="P50">
        <v>5.8</v>
      </c>
      <c r="Q50" t="s">
        <v>219</v>
      </c>
      <c r="R50">
        <v>100</v>
      </c>
      <c r="S50" t="s">
        <v>113</v>
      </c>
      <c r="T50" t="s">
        <v>29</v>
      </c>
      <c r="U50" t="s">
        <v>80</v>
      </c>
      <c r="V50" t="s">
        <v>215</v>
      </c>
      <c r="W50" t="s">
        <v>215</v>
      </c>
      <c r="X50">
        <v>1</v>
      </c>
      <c r="Y50" t="s">
        <v>115</v>
      </c>
    </row>
    <row r="51" spans="2:25">
      <c r="B51" t="s">
        <v>202</v>
      </c>
      <c r="C51" t="s">
        <v>214</v>
      </c>
      <c r="D51" t="s">
        <v>91</v>
      </c>
      <c r="E51" t="s">
        <v>100</v>
      </c>
      <c r="F51" t="s">
        <v>215</v>
      </c>
      <c r="G51" t="s">
        <v>215</v>
      </c>
      <c r="H51">
        <v>5</v>
      </c>
      <c r="I51" t="s">
        <v>110</v>
      </c>
      <c r="J51" t="s">
        <v>210</v>
      </c>
      <c r="K51" t="s">
        <v>33</v>
      </c>
      <c r="L51">
        <v>1</v>
      </c>
      <c r="M51" t="s">
        <v>215</v>
      </c>
      <c r="N51" t="s">
        <v>215</v>
      </c>
      <c r="O51" t="s">
        <v>31</v>
      </c>
      <c r="P51">
        <v>5.8</v>
      </c>
      <c r="Q51" t="s">
        <v>219</v>
      </c>
      <c r="R51">
        <v>100</v>
      </c>
      <c r="S51" t="s">
        <v>113</v>
      </c>
      <c r="T51" t="s">
        <v>29</v>
      </c>
      <c r="U51" t="s">
        <v>80</v>
      </c>
      <c r="V51" t="s">
        <v>215</v>
      </c>
      <c r="W51" t="s">
        <v>215</v>
      </c>
      <c r="X51">
        <v>1</v>
      </c>
      <c r="Y51" t="s">
        <v>115</v>
      </c>
    </row>
    <row r="52" spans="2:25">
      <c r="B52" t="s">
        <v>203</v>
      </c>
      <c r="C52" t="s">
        <v>214</v>
      </c>
      <c r="D52" t="s">
        <v>91</v>
      </c>
      <c r="E52" t="s">
        <v>100</v>
      </c>
      <c r="F52" t="s">
        <v>215</v>
      </c>
      <c r="G52" t="s">
        <v>215</v>
      </c>
      <c r="H52">
        <v>5</v>
      </c>
      <c r="I52" t="s">
        <v>111</v>
      </c>
      <c r="J52" t="s">
        <v>210</v>
      </c>
      <c r="K52" t="s">
        <v>33</v>
      </c>
      <c r="L52">
        <v>1</v>
      </c>
      <c r="M52" t="s">
        <v>215</v>
      </c>
      <c r="N52" t="s">
        <v>215</v>
      </c>
      <c r="O52" t="s">
        <v>31</v>
      </c>
      <c r="P52">
        <v>5.8</v>
      </c>
      <c r="Q52" t="s">
        <v>219</v>
      </c>
      <c r="R52">
        <v>100</v>
      </c>
      <c r="S52" t="s">
        <v>113</v>
      </c>
      <c r="T52" t="s">
        <v>29</v>
      </c>
      <c r="U52" t="s">
        <v>80</v>
      </c>
      <c r="V52" t="s">
        <v>215</v>
      </c>
      <c r="W52" t="s">
        <v>215</v>
      </c>
      <c r="X52">
        <v>1</v>
      </c>
      <c r="Y52" t="s">
        <v>115</v>
      </c>
    </row>
    <row r="53" spans="2:25">
      <c r="B53" t="s">
        <v>204</v>
      </c>
      <c r="C53" t="s">
        <v>214</v>
      </c>
      <c r="D53" t="s">
        <v>91</v>
      </c>
      <c r="E53" t="s">
        <v>100</v>
      </c>
      <c r="F53" t="s">
        <v>215</v>
      </c>
      <c r="G53" t="s">
        <v>215</v>
      </c>
      <c r="H53">
        <v>5</v>
      </c>
      <c r="I53" t="s">
        <v>110</v>
      </c>
      <c r="J53" t="s">
        <v>211</v>
      </c>
      <c r="K53" t="s">
        <v>33</v>
      </c>
      <c r="L53">
        <v>1</v>
      </c>
      <c r="M53" t="s">
        <v>215</v>
      </c>
      <c r="N53" t="s">
        <v>215</v>
      </c>
      <c r="O53" t="s">
        <v>31</v>
      </c>
      <c r="P53">
        <v>5.8</v>
      </c>
      <c r="Q53" t="s">
        <v>219</v>
      </c>
      <c r="R53">
        <v>100</v>
      </c>
      <c r="S53" t="s">
        <v>113</v>
      </c>
      <c r="T53" t="s">
        <v>29</v>
      </c>
      <c r="U53" t="s">
        <v>80</v>
      </c>
      <c r="V53" t="s">
        <v>215</v>
      </c>
      <c r="W53" t="s">
        <v>215</v>
      </c>
      <c r="X53">
        <v>1</v>
      </c>
      <c r="Y53" t="s">
        <v>115</v>
      </c>
    </row>
    <row r="54" spans="2:25">
      <c r="B54" t="s">
        <v>205</v>
      </c>
      <c r="C54" t="s">
        <v>214</v>
      </c>
      <c r="D54" t="s">
        <v>91</v>
      </c>
      <c r="E54" t="s">
        <v>100</v>
      </c>
      <c r="F54" t="s">
        <v>215</v>
      </c>
      <c r="G54" t="s">
        <v>215</v>
      </c>
      <c r="H54">
        <v>5</v>
      </c>
      <c r="I54" t="s">
        <v>111</v>
      </c>
      <c r="J54" t="s">
        <v>211</v>
      </c>
      <c r="K54" t="s">
        <v>33</v>
      </c>
      <c r="L54">
        <v>1</v>
      </c>
      <c r="M54" t="s">
        <v>215</v>
      </c>
      <c r="N54" t="s">
        <v>215</v>
      </c>
      <c r="O54" t="s">
        <v>31</v>
      </c>
      <c r="P54">
        <v>5.8</v>
      </c>
      <c r="Q54" t="s">
        <v>219</v>
      </c>
      <c r="R54">
        <v>100</v>
      </c>
      <c r="S54" t="s">
        <v>113</v>
      </c>
      <c r="T54" t="s">
        <v>29</v>
      </c>
      <c r="U54" t="s">
        <v>80</v>
      </c>
      <c r="V54" t="s">
        <v>215</v>
      </c>
      <c r="W54" t="s">
        <v>215</v>
      </c>
      <c r="X54">
        <v>1</v>
      </c>
      <c r="Y54" t="s">
        <v>115</v>
      </c>
    </row>
    <row r="55" spans="2:25">
      <c r="B55" t="s">
        <v>206</v>
      </c>
      <c r="C55" t="s">
        <v>214</v>
      </c>
      <c r="D55" t="s">
        <v>91</v>
      </c>
      <c r="E55" t="s">
        <v>100</v>
      </c>
      <c r="F55" t="s">
        <v>215</v>
      </c>
      <c r="G55" t="s">
        <v>215</v>
      </c>
      <c r="H55">
        <v>5</v>
      </c>
      <c r="I55" t="s">
        <v>110</v>
      </c>
      <c r="J55" t="s">
        <v>212</v>
      </c>
      <c r="K55" t="s">
        <v>33</v>
      </c>
      <c r="L55">
        <v>1</v>
      </c>
      <c r="M55" t="s">
        <v>215</v>
      </c>
      <c r="N55" t="s">
        <v>215</v>
      </c>
      <c r="O55" t="s">
        <v>31</v>
      </c>
      <c r="P55">
        <v>5.8</v>
      </c>
      <c r="Q55" t="s">
        <v>219</v>
      </c>
      <c r="R55">
        <v>100</v>
      </c>
      <c r="S55" t="s">
        <v>113</v>
      </c>
      <c r="T55" t="s">
        <v>29</v>
      </c>
      <c r="U55" t="s">
        <v>80</v>
      </c>
      <c r="V55" t="s">
        <v>215</v>
      </c>
      <c r="W55" t="s">
        <v>215</v>
      </c>
      <c r="X55">
        <v>1</v>
      </c>
      <c r="Y55" t="s">
        <v>115</v>
      </c>
    </row>
    <row r="56" spans="2:25">
      <c r="B56" t="s">
        <v>207</v>
      </c>
      <c r="C56" t="s">
        <v>214</v>
      </c>
      <c r="D56" t="s">
        <v>91</v>
      </c>
      <c r="E56" t="s">
        <v>100</v>
      </c>
      <c r="F56" t="s">
        <v>215</v>
      </c>
      <c r="G56" t="s">
        <v>215</v>
      </c>
      <c r="H56">
        <v>5</v>
      </c>
      <c r="I56" t="s">
        <v>111</v>
      </c>
      <c r="J56" t="s">
        <v>212</v>
      </c>
      <c r="K56" t="s">
        <v>33</v>
      </c>
      <c r="L56">
        <v>1</v>
      </c>
      <c r="M56" t="s">
        <v>215</v>
      </c>
      <c r="N56" t="s">
        <v>215</v>
      </c>
      <c r="O56" t="s">
        <v>31</v>
      </c>
      <c r="P56">
        <v>5.8</v>
      </c>
      <c r="Q56" t="s">
        <v>219</v>
      </c>
      <c r="R56">
        <v>100</v>
      </c>
      <c r="S56" t="s">
        <v>113</v>
      </c>
      <c r="T56" t="s">
        <v>29</v>
      </c>
      <c r="U56" t="s">
        <v>80</v>
      </c>
      <c r="V56" t="s">
        <v>215</v>
      </c>
      <c r="W56" t="s">
        <v>215</v>
      </c>
      <c r="X56">
        <v>1</v>
      </c>
      <c r="Y56" t="s">
        <v>115</v>
      </c>
    </row>
    <row r="57" spans="2:25">
      <c r="B57" t="s">
        <v>208</v>
      </c>
      <c r="C57" t="s">
        <v>214</v>
      </c>
      <c r="D57" t="s">
        <v>91</v>
      </c>
      <c r="E57" t="s">
        <v>100</v>
      </c>
      <c r="F57" t="s">
        <v>215</v>
      </c>
      <c r="G57" t="s">
        <v>215</v>
      </c>
      <c r="H57">
        <v>5</v>
      </c>
      <c r="I57" t="s">
        <v>110</v>
      </c>
      <c r="J57" t="s">
        <v>213</v>
      </c>
      <c r="K57" t="s">
        <v>33</v>
      </c>
      <c r="L57">
        <v>1</v>
      </c>
      <c r="M57" t="s">
        <v>215</v>
      </c>
      <c r="N57" t="s">
        <v>215</v>
      </c>
      <c r="O57" t="s">
        <v>31</v>
      </c>
      <c r="P57">
        <v>5.8</v>
      </c>
      <c r="Q57" t="s">
        <v>219</v>
      </c>
      <c r="R57">
        <v>100</v>
      </c>
      <c r="S57" t="s">
        <v>113</v>
      </c>
      <c r="T57" t="s">
        <v>29</v>
      </c>
      <c r="U57" t="s">
        <v>80</v>
      </c>
      <c r="V57" t="s">
        <v>215</v>
      </c>
      <c r="W57" t="s">
        <v>215</v>
      </c>
      <c r="X57">
        <v>1</v>
      </c>
      <c r="Y57" t="s">
        <v>115</v>
      </c>
    </row>
    <row r="58" spans="2:25">
      <c r="B58" t="s">
        <v>209</v>
      </c>
      <c r="C58" t="s">
        <v>214</v>
      </c>
      <c r="D58" t="s">
        <v>91</v>
      </c>
      <c r="E58" t="s">
        <v>100</v>
      </c>
      <c r="F58" t="s">
        <v>215</v>
      </c>
      <c r="G58" t="s">
        <v>215</v>
      </c>
      <c r="H58">
        <v>5</v>
      </c>
      <c r="I58" t="s">
        <v>111</v>
      </c>
      <c r="J58" t="s">
        <v>213</v>
      </c>
      <c r="K58" t="s">
        <v>33</v>
      </c>
      <c r="L58">
        <v>1</v>
      </c>
      <c r="M58" t="s">
        <v>215</v>
      </c>
      <c r="N58" t="s">
        <v>215</v>
      </c>
      <c r="O58" t="s">
        <v>31</v>
      </c>
      <c r="P58">
        <v>5.8</v>
      </c>
      <c r="Q58" t="s">
        <v>219</v>
      </c>
      <c r="R58">
        <v>100</v>
      </c>
      <c r="S58" t="s">
        <v>113</v>
      </c>
      <c r="T58" t="s">
        <v>29</v>
      </c>
      <c r="U58" t="s">
        <v>80</v>
      </c>
      <c r="V58" t="s">
        <v>215</v>
      </c>
      <c r="W58" t="s">
        <v>215</v>
      </c>
      <c r="X58">
        <v>1</v>
      </c>
      <c r="Y58" t="s">
        <v>115</v>
      </c>
    </row>
  </sheetData>
  <sheetProtection algorithmName="SHA-512" hashValue="6zDyO1njAQ4OHAg8WPEjPeYkwAunfuezJ2CPodNPVNwxeJFz9qHDx6EQcxTEDGaPaLArFufyQt9CT/rtCAb54A==" saltValue="26g9twBC8yu8Zp73iesrhA==" spinCount="100000" sheet="1" objects="1" scenarios="1"/>
  <autoFilter ref="B2:Y58" xr:uid="{524FED65-2B23-419C-96FE-B4EEB721971C}">
    <filterColumn colId="17">
      <filters>
        <filter val="208/240 V, 60 Hz, 1 ph."/>
      </filters>
    </filterColumn>
  </autoFilter>
  <phoneticPr fontId="3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dimension ref="B2:BX25"/>
  <sheetViews>
    <sheetView showGridLines="0" workbookViewId="0">
      <selection activeCell="L5" sqref="L5"/>
    </sheetView>
  </sheetViews>
  <sheetFormatPr defaultRowHeight="13.5"/>
  <cols>
    <col min="2" max="2" width="23.5703125" bestFit="1" customWidth="1"/>
    <col min="3" max="3" width="7.85546875" style="67" bestFit="1" customWidth="1"/>
    <col min="4" max="4" width="7.28515625" style="67" customWidth="1"/>
    <col min="5" max="9" width="6.42578125" style="67" customWidth="1"/>
    <col min="15" max="21" width="5.7109375" style="154" customWidth="1"/>
    <col min="22" max="22" width="9.140625" style="154"/>
    <col min="23" max="23" width="5.28515625" style="174" customWidth="1"/>
    <col min="24" max="24" width="7.28515625" style="174" customWidth="1"/>
    <col min="25" max="29" width="6.42578125" style="174" customWidth="1"/>
    <col min="30" max="30" width="9.140625" style="154"/>
    <col min="31" max="31" width="5.28515625" style="174" customWidth="1"/>
    <col min="32" max="32" width="7.28515625" style="174" customWidth="1"/>
    <col min="33" max="37" width="6.42578125" style="174" customWidth="1"/>
    <col min="38" max="38" width="6.42578125" style="154" customWidth="1"/>
    <col min="39" max="39" width="9.140625" style="154"/>
    <col min="40" max="40" width="5.28515625" style="174" customWidth="1"/>
    <col min="41" max="41" width="7.28515625" style="174" customWidth="1"/>
    <col min="42" max="48" width="6.42578125" style="174" customWidth="1"/>
    <col min="49" max="49" width="6.42578125" style="154" customWidth="1"/>
    <col min="50" max="51" width="6.42578125" customWidth="1"/>
    <col min="54" max="54" width="32.28515625" bestFit="1" customWidth="1"/>
  </cols>
  <sheetData>
    <row r="2" spans="2:76">
      <c r="C2" s="99"/>
      <c r="D2" s="99"/>
      <c r="E2" s="100"/>
      <c r="F2" s="99"/>
      <c r="G2" s="99"/>
      <c r="H2" s="99"/>
      <c r="I2" s="99"/>
      <c r="Y2" s="154"/>
      <c r="AG2" s="154"/>
      <c r="AP2" s="154"/>
    </row>
    <row r="3" spans="2:76">
      <c r="C3" s="101"/>
      <c r="D3" s="101"/>
      <c r="E3" s="101"/>
      <c r="F3" s="101"/>
      <c r="G3" s="101"/>
      <c r="H3" s="101"/>
      <c r="I3" s="101"/>
      <c r="W3" s="175"/>
      <c r="X3" s="175"/>
      <c r="Y3" s="175"/>
      <c r="Z3" s="175"/>
      <c r="AA3" s="175"/>
      <c r="AB3" s="175"/>
      <c r="AC3" s="175"/>
      <c r="AE3" s="175"/>
      <c r="AF3" s="175"/>
      <c r="AG3" s="175"/>
      <c r="AH3" s="175"/>
      <c r="AI3" s="175"/>
      <c r="AJ3" s="175"/>
      <c r="AK3" s="175"/>
      <c r="AN3" s="175"/>
      <c r="AO3" s="175"/>
      <c r="AP3" s="175"/>
      <c r="AQ3" s="175"/>
      <c r="AR3" s="175"/>
      <c r="AS3" s="175"/>
      <c r="AT3" s="175"/>
      <c r="AU3" s="175"/>
      <c r="AV3" s="175"/>
    </row>
    <row r="4" spans="2:76" ht="24" customHeight="1">
      <c r="C4" s="102"/>
      <c r="D4" s="102"/>
      <c r="E4" s="103"/>
      <c r="F4" s="103"/>
      <c r="G4" s="103"/>
      <c r="H4" s="103"/>
      <c r="I4" s="103"/>
      <c r="O4" s="176"/>
      <c r="P4" s="176"/>
      <c r="Q4" s="256"/>
      <c r="R4" s="256"/>
      <c r="S4" s="256"/>
      <c r="T4" s="256"/>
      <c r="U4" s="256"/>
      <c r="W4" s="176"/>
      <c r="X4" s="176"/>
      <c r="Y4" s="256"/>
      <c r="Z4" s="256"/>
      <c r="AA4" s="256"/>
      <c r="AB4" s="256"/>
      <c r="AC4" s="256"/>
      <c r="AE4" s="176"/>
      <c r="AF4" s="176"/>
      <c r="AG4" s="256"/>
      <c r="AH4" s="256"/>
      <c r="AI4" s="256"/>
      <c r="AJ4" s="256"/>
      <c r="AK4" s="256"/>
      <c r="AL4" s="256"/>
      <c r="AN4" s="176"/>
      <c r="AO4" s="176"/>
      <c r="AP4" s="256"/>
      <c r="AQ4" s="256"/>
      <c r="AR4" s="256"/>
      <c r="AS4" s="256"/>
      <c r="AT4" s="256"/>
      <c r="AU4" s="256"/>
      <c r="AV4" s="256"/>
      <c r="AW4" s="256"/>
      <c r="BS4" s="87"/>
      <c r="BT4" s="87"/>
      <c r="BU4" s="87"/>
      <c r="BV4" s="87"/>
      <c r="BW4" s="87"/>
    </row>
    <row r="5" spans="2:76">
      <c r="B5" s="104" t="s">
        <v>85</v>
      </c>
      <c r="C5" s="105">
        <v>1</v>
      </c>
      <c r="D5" s="105">
        <v>2</v>
      </c>
      <c r="E5" s="105">
        <v>3</v>
      </c>
      <c r="F5" s="105">
        <v>4</v>
      </c>
      <c r="G5" s="105">
        <v>5</v>
      </c>
      <c r="H5" s="105">
        <v>6</v>
      </c>
      <c r="I5" s="105">
        <v>7</v>
      </c>
      <c r="J5" s="105">
        <v>8</v>
      </c>
      <c r="K5" s="105">
        <v>9</v>
      </c>
      <c r="L5" s="105">
        <v>10</v>
      </c>
      <c r="M5" s="105">
        <v>11</v>
      </c>
      <c r="N5" s="105">
        <v>12</v>
      </c>
      <c r="O5" s="102"/>
      <c r="P5" s="176"/>
      <c r="Q5" s="177"/>
      <c r="R5" s="177"/>
      <c r="S5" s="177"/>
      <c r="T5" s="177"/>
      <c r="U5" s="177"/>
      <c r="W5" s="176"/>
      <c r="X5" s="176"/>
      <c r="Y5" s="177"/>
      <c r="Z5" s="177"/>
      <c r="AA5" s="177"/>
      <c r="AB5" s="177"/>
      <c r="AC5" s="177"/>
      <c r="AE5" s="102"/>
      <c r="AF5" s="176"/>
      <c r="AG5" s="177"/>
      <c r="AH5" s="177"/>
      <c r="AI5" s="177"/>
      <c r="AJ5" s="177"/>
      <c r="AK5" s="177"/>
      <c r="AL5" s="177"/>
      <c r="AN5" s="102"/>
      <c r="AO5" s="176"/>
      <c r="AP5" s="177"/>
      <c r="AQ5" s="177"/>
      <c r="AR5" s="177"/>
      <c r="AS5" s="177"/>
      <c r="AT5" s="177"/>
      <c r="AU5" s="177"/>
      <c r="AV5" s="177"/>
      <c r="AW5" s="177"/>
      <c r="BB5" t="s">
        <v>83</v>
      </c>
      <c r="BS5" s="87"/>
      <c r="BT5" s="87"/>
      <c r="BU5" s="87"/>
      <c r="BV5" s="87"/>
      <c r="BW5" s="87"/>
      <c r="BX5" s="87"/>
    </row>
    <row r="6" spans="2:76">
      <c r="B6" t="s">
        <v>134</v>
      </c>
      <c r="C6" s="253" t="s">
        <v>124</v>
      </c>
      <c r="D6" s="68">
        <v>1</v>
      </c>
      <c r="E6" s="68">
        <v>368</v>
      </c>
      <c r="F6" s="68">
        <v>317</v>
      </c>
      <c r="G6" s="68">
        <v>244</v>
      </c>
      <c r="H6" s="68">
        <v>196</v>
      </c>
      <c r="I6" s="68">
        <v>197</v>
      </c>
      <c r="J6" s="68">
        <v>196</v>
      </c>
      <c r="K6" s="68">
        <v>196</v>
      </c>
      <c r="L6" s="68">
        <v>197</v>
      </c>
      <c r="M6" s="68">
        <v>196</v>
      </c>
      <c r="N6" s="68">
        <v>196</v>
      </c>
      <c r="O6" s="252"/>
      <c r="P6" s="178"/>
      <c r="Q6" s="178"/>
      <c r="R6" s="178"/>
      <c r="S6"/>
      <c r="T6" s="178"/>
      <c r="U6" s="178"/>
      <c r="W6" s="252"/>
      <c r="X6" s="178"/>
      <c r="Y6" s="178"/>
      <c r="Z6" s="179"/>
      <c r="AA6" s="178"/>
      <c r="AB6" s="178"/>
      <c r="AC6" s="178"/>
      <c r="AE6" s="180"/>
      <c r="AF6" s="181"/>
      <c r="AG6" s="181"/>
      <c r="AH6" s="181"/>
      <c r="AI6" s="181"/>
      <c r="AJ6" s="181"/>
      <c r="AK6" s="181"/>
      <c r="AL6" s="181"/>
      <c r="AN6" s="180"/>
      <c r="AO6" s="182"/>
      <c r="AP6" s="183"/>
      <c r="AQ6" s="183"/>
      <c r="AR6" s="183"/>
      <c r="AS6" s="183"/>
      <c r="AT6" s="183"/>
      <c r="AU6" s="183"/>
      <c r="AV6" s="183"/>
      <c r="AW6" s="183"/>
      <c r="BB6" t="s">
        <v>34</v>
      </c>
      <c r="BC6" t="s">
        <v>74</v>
      </c>
      <c r="BD6">
        <v>0.1</v>
      </c>
      <c r="BE6">
        <v>0.2</v>
      </c>
      <c r="BF6">
        <v>0.3</v>
      </c>
      <c r="BG6">
        <v>0.4</v>
      </c>
      <c r="BH6">
        <v>0.5</v>
      </c>
      <c r="BI6">
        <v>0.6</v>
      </c>
      <c r="BJ6">
        <v>0.7</v>
      </c>
      <c r="BK6">
        <v>0.8</v>
      </c>
      <c r="BL6">
        <v>0.9</v>
      </c>
      <c r="BM6">
        <v>1</v>
      </c>
      <c r="BS6" s="87"/>
      <c r="BT6" s="87"/>
      <c r="BU6" s="87"/>
      <c r="BV6" s="87"/>
      <c r="BW6" s="87"/>
      <c r="BX6" s="87"/>
    </row>
    <row r="7" spans="2:76">
      <c r="B7" t="s">
        <v>135</v>
      </c>
      <c r="C7" s="254"/>
      <c r="D7" s="68">
        <v>2</v>
      </c>
      <c r="E7" s="68">
        <v>522</v>
      </c>
      <c r="F7" s="68">
        <v>470</v>
      </c>
      <c r="G7" s="68">
        <v>433</v>
      </c>
      <c r="H7" s="68">
        <v>379</v>
      </c>
      <c r="I7" s="68">
        <v>339</v>
      </c>
      <c r="J7" s="68">
        <v>339</v>
      </c>
      <c r="K7" s="68">
        <v>340</v>
      </c>
      <c r="L7" s="68">
        <v>260</v>
      </c>
      <c r="M7" s="68">
        <v>261</v>
      </c>
      <c r="N7" s="68">
        <v>260</v>
      </c>
      <c r="O7" s="252"/>
      <c r="P7" s="178"/>
      <c r="Q7" s="178"/>
      <c r="R7" s="178"/>
      <c r="S7"/>
      <c r="T7" s="178"/>
      <c r="U7" s="178"/>
      <c r="W7" s="252"/>
      <c r="X7" s="184"/>
      <c r="Y7" s="178"/>
      <c r="Z7" s="178"/>
      <c r="AA7" s="178"/>
      <c r="AB7" s="178"/>
      <c r="AC7" s="178"/>
      <c r="AE7" s="180"/>
      <c r="AF7" s="181"/>
      <c r="AG7" s="181"/>
      <c r="AH7" s="181"/>
      <c r="AI7" s="181"/>
      <c r="AJ7" s="181"/>
      <c r="AK7" s="181"/>
      <c r="AL7" s="181"/>
      <c r="AN7" s="180"/>
      <c r="AO7" s="182"/>
      <c r="AP7" s="183"/>
      <c r="AQ7" s="183"/>
      <c r="AR7" s="183"/>
      <c r="AS7" s="183"/>
      <c r="AT7" s="183"/>
      <c r="AU7" s="183"/>
      <c r="AV7" s="183"/>
      <c r="AW7" s="183"/>
      <c r="BB7" t="s">
        <v>47</v>
      </c>
      <c r="BC7" t="s">
        <v>74</v>
      </c>
      <c r="BD7">
        <v>0.1</v>
      </c>
      <c r="BE7">
        <v>0.2</v>
      </c>
      <c r="BF7">
        <v>0.3</v>
      </c>
      <c r="BG7">
        <v>0.4</v>
      </c>
      <c r="BH7">
        <v>0.5</v>
      </c>
      <c r="BI7">
        <v>0.6</v>
      </c>
      <c r="BJ7">
        <v>0.7</v>
      </c>
      <c r="BK7">
        <v>0.8</v>
      </c>
      <c r="BL7">
        <v>0.9</v>
      </c>
      <c r="BM7">
        <v>1</v>
      </c>
      <c r="BS7" s="87"/>
      <c r="BT7" s="87"/>
      <c r="BU7" s="87"/>
      <c r="BV7" s="87"/>
      <c r="BW7" s="87"/>
      <c r="BX7" s="87"/>
    </row>
    <row r="8" spans="2:76">
      <c r="B8" t="s">
        <v>136</v>
      </c>
      <c r="C8" s="254"/>
      <c r="D8" s="106" t="s">
        <v>120</v>
      </c>
      <c r="E8" s="68">
        <v>711</v>
      </c>
      <c r="F8" s="68">
        <v>675</v>
      </c>
      <c r="G8" s="68">
        <v>634</v>
      </c>
      <c r="H8" s="68">
        <v>604</v>
      </c>
      <c r="I8" s="68">
        <v>565</v>
      </c>
      <c r="J8" s="68">
        <v>525</v>
      </c>
      <c r="K8" s="68">
        <v>493</v>
      </c>
      <c r="L8" s="68">
        <v>449</v>
      </c>
      <c r="M8" s="68">
        <v>450</v>
      </c>
      <c r="N8" s="68">
        <v>449</v>
      </c>
      <c r="O8" s="252"/>
      <c r="P8" s="184"/>
      <c r="Q8" s="178"/>
      <c r="R8" s="178"/>
      <c r="S8"/>
      <c r="T8" s="178"/>
      <c r="U8" s="178"/>
      <c r="W8" s="252"/>
      <c r="X8" s="178"/>
      <c r="Y8" s="178"/>
      <c r="Z8" s="178"/>
      <c r="AA8" s="178"/>
      <c r="AB8" s="178"/>
      <c r="AC8" s="178"/>
      <c r="AE8" s="180"/>
      <c r="AF8" s="185"/>
      <c r="AG8" s="181"/>
      <c r="AH8" s="181"/>
      <c r="AI8" s="181"/>
      <c r="AJ8" s="181"/>
      <c r="AK8" s="181"/>
      <c r="AL8" s="181"/>
      <c r="AN8" s="180"/>
      <c r="AO8" s="186"/>
      <c r="AP8" s="183"/>
      <c r="AQ8" s="183"/>
      <c r="AR8" s="183"/>
      <c r="AS8" s="183"/>
      <c r="AT8" s="183"/>
      <c r="AU8" s="183"/>
      <c r="AV8" s="183"/>
      <c r="AW8" s="183"/>
      <c r="BB8" t="s">
        <v>33</v>
      </c>
      <c r="BC8" t="s">
        <v>84</v>
      </c>
      <c r="BD8">
        <v>0.1</v>
      </c>
      <c r="BE8">
        <v>0.2</v>
      </c>
      <c r="BF8">
        <v>0.3</v>
      </c>
      <c r="BG8">
        <v>0.4</v>
      </c>
      <c r="BH8">
        <v>0.5</v>
      </c>
      <c r="BI8">
        <v>0.6</v>
      </c>
      <c r="BJ8">
        <v>0.7</v>
      </c>
      <c r="BK8">
        <v>0.8</v>
      </c>
      <c r="BL8">
        <v>0.9</v>
      </c>
      <c r="BM8">
        <v>1</v>
      </c>
      <c r="BS8" s="87"/>
      <c r="BT8" s="87"/>
      <c r="BU8" s="87"/>
      <c r="BV8" s="87"/>
      <c r="BW8" s="87"/>
      <c r="BX8" s="87"/>
    </row>
    <row r="9" spans="2:76">
      <c r="B9" t="s">
        <v>137</v>
      </c>
      <c r="C9" s="254"/>
      <c r="D9" s="68" t="s">
        <v>121</v>
      </c>
      <c r="E9" s="68">
        <v>837</v>
      </c>
      <c r="F9" s="68">
        <v>801</v>
      </c>
      <c r="G9" s="68">
        <v>774</v>
      </c>
      <c r="H9" s="68">
        <v>738</v>
      </c>
      <c r="I9" s="68">
        <v>705</v>
      </c>
      <c r="J9" s="68">
        <v>676</v>
      </c>
      <c r="K9" s="68">
        <v>645</v>
      </c>
      <c r="L9" s="68">
        <v>614</v>
      </c>
      <c r="M9" s="68">
        <v>607</v>
      </c>
      <c r="N9" s="68">
        <v>605</v>
      </c>
      <c r="O9" s="252"/>
      <c r="P9" s="178"/>
      <c r="Q9" s="178"/>
      <c r="R9" s="178"/>
      <c r="S9"/>
      <c r="T9" s="178"/>
      <c r="U9" s="178"/>
      <c r="V9" s="189" t="s">
        <v>128</v>
      </c>
      <c r="W9" s="190"/>
      <c r="X9" s="191"/>
      <c r="Y9" s="191"/>
      <c r="Z9" s="192"/>
      <c r="AA9" s="192"/>
      <c r="AB9" s="178"/>
      <c r="AC9" s="178"/>
      <c r="AE9" s="180"/>
      <c r="AF9" s="181"/>
      <c r="AG9" s="181"/>
      <c r="AH9" s="181"/>
      <c r="AI9" s="181"/>
      <c r="AJ9" s="181"/>
      <c r="AK9" s="181"/>
      <c r="AL9" s="181"/>
      <c r="AN9" s="180"/>
      <c r="AO9" s="182"/>
      <c r="AP9" s="183"/>
      <c r="AQ9" s="183"/>
      <c r="AR9" s="183"/>
      <c r="AS9" s="183"/>
      <c r="AT9" s="183"/>
      <c r="AU9" s="183"/>
      <c r="AV9" s="183"/>
      <c r="AW9" s="183"/>
      <c r="BB9" t="s">
        <v>48</v>
      </c>
      <c r="BC9" t="s">
        <v>84</v>
      </c>
      <c r="BD9">
        <v>0.1</v>
      </c>
      <c r="BE9">
        <v>0.2</v>
      </c>
      <c r="BF9">
        <v>0.3</v>
      </c>
      <c r="BG9">
        <v>0.4</v>
      </c>
      <c r="BH9">
        <v>0.5</v>
      </c>
      <c r="BI9">
        <v>0.6</v>
      </c>
      <c r="BJ9">
        <v>0.7</v>
      </c>
      <c r="BK9">
        <v>0.8</v>
      </c>
      <c r="BL9">
        <v>0.9</v>
      </c>
      <c r="BM9">
        <v>1</v>
      </c>
    </row>
    <row r="10" spans="2:76">
      <c r="B10" t="s">
        <v>138</v>
      </c>
      <c r="C10" s="255"/>
      <c r="D10" s="68" t="s">
        <v>122</v>
      </c>
      <c r="E10" s="68">
        <v>921</v>
      </c>
      <c r="F10" s="68">
        <v>886</v>
      </c>
      <c r="G10" s="68">
        <v>862</v>
      </c>
      <c r="H10" s="68">
        <v>827</v>
      </c>
      <c r="I10" s="68">
        <v>794</v>
      </c>
      <c r="J10" s="68">
        <v>770</v>
      </c>
      <c r="K10" s="68">
        <v>739</v>
      </c>
      <c r="L10" s="68">
        <v>713</v>
      </c>
      <c r="M10" s="68">
        <v>709</v>
      </c>
      <c r="N10" s="68">
        <v>654</v>
      </c>
      <c r="O10" s="252"/>
      <c r="P10" s="178"/>
      <c r="Q10" s="178"/>
      <c r="R10" s="178"/>
      <c r="S10"/>
      <c r="T10" s="178"/>
      <c r="U10" s="178"/>
      <c r="V10" s="189" t="s">
        <v>129</v>
      </c>
      <c r="W10" s="192"/>
      <c r="X10" s="192"/>
      <c r="Y10" s="192"/>
      <c r="Z10" s="192"/>
      <c r="AA10" s="192"/>
      <c r="AB10" s="178"/>
      <c r="AC10" s="178"/>
      <c r="AE10" s="180"/>
      <c r="AF10" s="181"/>
      <c r="AG10" s="181"/>
      <c r="AH10" s="181"/>
      <c r="AI10" s="181"/>
      <c r="AJ10" s="181"/>
      <c r="AK10" s="181"/>
      <c r="AL10" s="181"/>
      <c r="AN10" s="180"/>
      <c r="AO10" s="182"/>
      <c r="AP10" s="183"/>
      <c r="AQ10" s="183"/>
      <c r="AR10" s="183"/>
      <c r="AS10" s="183"/>
      <c r="AT10" s="183"/>
      <c r="AU10" s="183"/>
      <c r="AV10" s="183"/>
      <c r="AW10" s="183"/>
    </row>
    <row r="11" spans="2:76">
      <c r="B11" t="s">
        <v>139</v>
      </c>
      <c r="C11" s="253" t="s">
        <v>125</v>
      </c>
      <c r="D11" s="106">
        <v>1</v>
      </c>
      <c r="E11" s="68">
        <v>414</v>
      </c>
      <c r="F11" s="68">
        <v>344</v>
      </c>
      <c r="G11" s="68">
        <v>268</v>
      </c>
      <c r="H11" s="68">
        <v>202</v>
      </c>
      <c r="I11" s="68">
        <v>202</v>
      </c>
      <c r="J11" s="68">
        <v>201</v>
      </c>
      <c r="K11" s="68">
        <v>201</v>
      </c>
      <c r="L11" s="68">
        <v>201</v>
      </c>
      <c r="M11" s="68">
        <v>202</v>
      </c>
      <c r="N11" s="68">
        <v>202</v>
      </c>
      <c r="O11" s="252"/>
      <c r="P11" s="178"/>
      <c r="Q11" s="178"/>
      <c r="R11" s="178"/>
      <c r="S11"/>
      <c r="T11" s="178"/>
      <c r="U11" s="178"/>
      <c r="V11" s="189" t="s">
        <v>130</v>
      </c>
      <c r="W11" s="193"/>
      <c r="X11" s="193"/>
      <c r="Y11" s="193"/>
      <c r="Z11" s="192"/>
      <c r="AA11" s="192"/>
      <c r="AB11" s="178"/>
      <c r="AC11" s="178"/>
      <c r="AE11" s="187"/>
      <c r="AF11" s="181"/>
      <c r="AG11" s="181"/>
      <c r="AH11" s="181"/>
      <c r="AI11" s="181"/>
      <c r="AJ11" s="181"/>
      <c r="AK11" s="181"/>
      <c r="AL11" s="181"/>
      <c r="AN11" s="188"/>
      <c r="AO11" s="182"/>
      <c r="AP11" s="183"/>
      <c r="AQ11" s="183"/>
      <c r="AR11" s="183"/>
      <c r="AS11" s="183"/>
      <c r="AT11" s="183"/>
      <c r="AU11" s="183"/>
      <c r="AV11" s="183"/>
      <c r="AW11" s="183"/>
    </row>
    <row r="12" spans="2:76">
      <c r="B12" t="s">
        <v>140</v>
      </c>
      <c r="C12" s="254"/>
      <c r="D12" s="106">
        <v>2</v>
      </c>
      <c r="E12" s="68">
        <v>760</v>
      </c>
      <c r="F12" s="68">
        <v>701</v>
      </c>
      <c r="G12" s="68">
        <v>659</v>
      </c>
      <c r="H12" s="68">
        <v>613</v>
      </c>
      <c r="I12" s="68">
        <v>568</v>
      </c>
      <c r="J12" s="68">
        <v>522</v>
      </c>
      <c r="K12" s="68">
        <v>486</v>
      </c>
      <c r="L12" s="68">
        <v>447</v>
      </c>
      <c r="M12" s="68">
        <v>447</v>
      </c>
      <c r="N12" s="68">
        <v>446</v>
      </c>
      <c r="O12" s="252"/>
      <c r="P12" s="178"/>
      <c r="Q12" s="178"/>
      <c r="R12" s="178"/>
      <c r="S12"/>
      <c r="T12" s="178"/>
      <c r="U12" s="178"/>
      <c r="V12" s="189" t="s">
        <v>131</v>
      </c>
      <c r="W12" s="193"/>
      <c r="X12" s="193"/>
      <c r="Y12" s="193"/>
      <c r="Z12" s="192"/>
      <c r="AA12" s="192"/>
      <c r="AB12" s="178"/>
      <c r="AC12" s="178"/>
      <c r="AE12" s="188"/>
      <c r="AF12" s="181"/>
      <c r="AG12" s="181"/>
      <c r="AH12" s="181"/>
      <c r="AI12" s="181"/>
      <c r="AJ12" s="181"/>
      <c r="AK12" s="181"/>
      <c r="AL12" s="181"/>
      <c r="AN12" s="188"/>
      <c r="AO12" s="182"/>
      <c r="AP12" s="183"/>
      <c r="AQ12" s="183"/>
      <c r="AR12" s="183"/>
      <c r="AS12" s="183"/>
      <c r="AT12" s="183"/>
      <c r="AU12" s="183"/>
      <c r="AV12" s="183"/>
      <c r="AW12" s="183"/>
    </row>
    <row r="13" spans="2:76">
      <c r="B13" t="s">
        <v>141</v>
      </c>
      <c r="C13" s="254"/>
      <c r="D13" s="68" t="s">
        <v>120</v>
      </c>
      <c r="E13" s="68">
        <v>1063</v>
      </c>
      <c r="F13" s="68">
        <v>956</v>
      </c>
      <c r="G13" s="68">
        <v>916</v>
      </c>
      <c r="H13" s="68">
        <v>873</v>
      </c>
      <c r="I13" s="68">
        <v>840</v>
      </c>
      <c r="J13" s="68">
        <v>803</v>
      </c>
      <c r="K13" s="68">
        <v>767</v>
      </c>
      <c r="L13" s="68">
        <v>735</v>
      </c>
      <c r="M13" s="68">
        <v>720</v>
      </c>
      <c r="N13" s="68">
        <v>672</v>
      </c>
      <c r="O13" s="252"/>
      <c r="P13" s="184"/>
      <c r="Q13" s="178"/>
      <c r="R13" s="178"/>
      <c r="S13"/>
      <c r="T13" s="178"/>
      <c r="U13" s="178"/>
      <c r="V13" s="189" t="s">
        <v>132</v>
      </c>
      <c r="W13" s="193"/>
      <c r="X13" s="193"/>
      <c r="Y13" s="193"/>
      <c r="Z13" s="192"/>
      <c r="AA13" s="192"/>
      <c r="AB13" s="178"/>
      <c r="AC13" s="178"/>
      <c r="AE13" s="188"/>
      <c r="AF13" s="185"/>
      <c r="AG13" s="181"/>
      <c r="AH13" s="181"/>
      <c r="AI13" s="181"/>
      <c r="AJ13" s="181"/>
      <c r="AK13" s="181"/>
      <c r="AL13" s="181"/>
      <c r="AN13" s="188"/>
      <c r="AO13" s="186"/>
      <c r="AP13" s="183"/>
      <c r="AQ13" s="183"/>
      <c r="AR13" s="183"/>
      <c r="AS13" s="183"/>
      <c r="AT13" s="183"/>
      <c r="AU13" s="183"/>
      <c r="AV13" s="183"/>
      <c r="AW13" s="183"/>
    </row>
    <row r="14" spans="2:76">
      <c r="B14" t="s">
        <v>142</v>
      </c>
      <c r="C14" s="254"/>
      <c r="D14" s="68" t="s">
        <v>121</v>
      </c>
      <c r="E14" s="68">
        <v>1157</v>
      </c>
      <c r="F14" s="68">
        <v>1060</v>
      </c>
      <c r="G14" s="68">
        <v>1005</v>
      </c>
      <c r="H14" s="68">
        <v>963</v>
      </c>
      <c r="I14" s="68">
        <v>926</v>
      </c>
      <c r="J14" s="68">
        <v>900</v>
      </c>
      <c r="K14" s="68">
        <v>867</v>
      </c>
      <c r="L14" s="68">
        <v>840</v>
      </c>
      <c r="M14" s="68">
        <v>807</v>
      </c>
      <c r="N14" s="68">
        <v>805</v>
      </c>
      <c r="O14" s="252"/>
      <c r="P14" s="178"/>
      <c r="Q14" s="178"/>
      <c r="R14" s="178"/>
      <c r="S14"/>
      <c r="T14" s="178"/>
      <c r="U14" s="178"/>
      <c r="V14" s="189" t="s">
        <v>133</v>
      </c>
      <c r="W14" s="193"/>
      <c r="X14" s="193"/>
      <c r="Y14" s="193"/>
      <c r="Z14" s="192"/>
      <c r="AA14" s="192"/>
      <c r="AB14" s="178"/>
      <c r="AC14" s="178"/>
      <c r="AE14" s="188"/>
      <c r="AF14" s="181"/>
      <c r="AG14" s="181"/>
      <c r="AH14" s="181"/>
      <c r="AI14" s="181"/>
      <c r="AJ14" s="181"/>
      <c r="AK14" s="181"/>
      <c r="AL14" s="181"/>
      <c r="AN14" s="188"/>
      <c r="AO14" s="182"/>
      <c r="AP14" s="183"/>
      <c r="AQ14" s="183"/>
      <c r="AR14" s="183"/>
      <c r="AS14" s="183"/>
      <c r="AT14" s="183"/>
      <c r="AU14" s="183"/>
      <c r="AV14" s="183"/>
      <c r="AW14" s="183"/>
    </row>
    <row r="15" spans="2:76">
      <c r="B15" t="s">
        <v>143</v>
      </c>
      <c r="C15" s="255"/>
      <c r="D15" s="68" t="s">
        <v>122</v>
      </c>
      <c r="E15" s="68">
        <v>1213</v>
      </c>
      <c r="F15" s="68">
        <v>1142</v>
      </c>
      <c r="G15" s="68">
        <v>1078</v>
      </c>
      <c r="H15" s="68">
        <v>1035</v>
      </c>
      <c r="I15" s="68">
        <v>997</v>
      </c>
      <c r="J15" s="68">
        <v>961</v>
      </c>
      <c r="K15" s="68">
        <v>936</v>
      </c>
      <c r="L15" s="68">
        <v>905</v>
      </c>
      <c r="M15" s="68">
        <v>881</v>
      </c>
      <c r="N15" s="68">
        <v>848</v>
      </c>
      <c r="O15" s="252"/>
      <c r="P15" s="178"/>
      <c r="Q15" s="178"/>
      <c r="R15" s="178"/>
      <c r="S15"/>
      <c r="T15" s="178"/>
      <c r="U15" s="178"/>
      <c r="W15" s="252"/>
      <c r="X15" s="178"/>
      <c r="Y15" s="178"/>
      <c r="Z15" s="179"/>
      <c r="AA15" s="178"/>
      <c r="AB15" s="178"/>
      <c r="AC15" s="178"/>
      <c r="AE15" s="188"/>
      <c r="AF15" s="181"/>
      <c r="AG15" s="181"/>
      <c r="AH15" s="181"/>
      <c r="AI15" s="181"/>
      <c r="AJ15" s="181"/>
      <c r="AK15" s="181"/>
      <c r="AL15" s="181"/>
      <c r="AN15" s="188"/>
      <c r="AO15" s="182"/>
      <c r="AP15" s="183"/>
      <c r="AQ15" s="183"/>
      <c r="AR15" s="183"/>
      <c r="AS15" s="183"/>
      <c r="AT15" s="183"/>
      <c r="AU15" s="183"/>
      <c r="AV15" s="183"/>
      <c r="AW15" s="183"/>
    </row>
    <row r="16" spans="2:76">
      <c r="B16" t="s">
        <v>144</v>
      </c>
      <c r="C16" s="253" t="s">
        <v>126</v>
      </c>
      <c r="D16" s="106">
        <v>1</v>
      </c>
      <c r="E16" s="68">
        <v>486</v>
      </c>
      <c r="F16" s="68">
        <v>408</v>
      </c>
      <c r="G16" s="68">
        <v>333</v>
      </c>
      <c r="H16" s="68">
        <v>253</v>
      </c>
      <c r="I16" s="68">
        <v>216</v>
      </c>
      <c r="J16" s="68">
        <v>216</v>
      </c>
      <c r="K16" s="68">
        <v>216</v>
      </c>
      <c r="L16" s="68">
        <v>216</v>
      </c>
      <c r="M16" s="68">
        <v>216</v>
      </c>
      <c r="N16" s="68">
        <v>216</v>
      </c>
      <c r="O16" s="252"/>
      <c r="P16" s="178"/>
      <c r="Q16" s="178"/>
      <c r="R16" s="178"/>
      <c r="S16"/>
      <c r="T16" s="178"/>
      <c r="U16" s="178"/>
      <c r="W16" s="252"/>
      <c r="X16" s="184"/>
      <c r="Y16" s="178"/>
      <c r="Z16" s="178"/>
      <c r="AA16" s="178"/>
      <c r="AB16" s="178"/>
      <c r="AC16" s="178"/>
      <c r="AE16" s="187"/>
      <c r="AF16" s="181"/>
      <c r="AG16" s="181"/>
      <c r="AH16" s="181"/>
      <c r="AI16" s="181"/>
      <c r="AJ16" s="181"/>
      <c r="AK16" s="181"/>
      <c r="AL16" s="181"/>
      <c r="AN16" s="188"/>
      <c r="AO16" s="182"/>
      <c r="AP16" s="183"/>
      <c r="AQ16" s="183"/>
      <c r="AR16" s="183"/>
      <c r="AS16" s="183"/>
      <c r="AT16" s="183"/>
      <c r="AU16" s="183"/>
      <c r="AV16" s="183"/>
      <c r="AW16" s="183"/>
    </row>
    <row r="17" spans="2:49">
      <c r="B17" t="s">
        <v>145</v>
      </c>
      <c r="C17" s="254"/>
      <c r="D17" s="68">
        <v>2</v>
      </c>
      <c r="E17" s="68">
        <v>1046</v>
      </c>
      <c r="F17" s="68">
        <v>1010</v>
      </c>
      <c r="G17" s="68">
        <v>969</v>
      </c>
      <c r="H17" s="68">
        <v>877</v>
      </c>
      <c r="I17" s="68">
        <v>824</v>
      </c>
      <c r="J17" s="68">
        <v>780</v>
      </c>
      <c r="K17" s="68">
        <v>734</v>
      </c>
      <c r="L17" s="68">
        <v>690</v>
      </c>
      <c r="M17" s="68">
        <v>655</v>
      </c>
      <c r="N17" s="68">
        <v>615</v>
      </c>
      <c r="O17" s="252"/>
      <c r="P17" s="178"/>
      <c r="Q17" s="178"/>
      <c r="R17" s="178"/>
      <c r="S17"/>
      <c r="T17" s="178"/>
      <c r="U17" s="178"/>
      <c r="W17" s="252"/>
      <c r="X17" s="178"/>
      <c r="Y17" s="178"/>
      <c r="Z17" s="178"/>
      <c r="AA17" s="178"/>
      <c r="AB17" s="178"/>
      <c r="AC17" s="178"/>
      <c r="AE17" s="180"/>
      <c r="AF17" s="181"/>
      <c r="AG17" s="181"/>
      <c r="AH17" s="181"/>
      <c r="AI17" s="181"/>
      <c r="AJ17" s="181"/>
      <c r="AK17" s="181"/>
      <c r="AL17" s="181"/>
      <c r="AN17" s="180"/>
      <c r="AO17" s="182"/>
      <c r="AP17" s="183"/>
      <c r="AQ17" s="183"/>
      <c r="AR17" s="183"/>
      <c r="AS17" s="183"/>
      <c r="AT17" s="183"/>
      <c r="AU17" s="183"/>
      <c r="AV17" s="183"/>
      <c r="AW17" s="183"/>
    </row>
    <row r="18" spans="2:49">
      <c r="B18" t="s">
        <v>146</v>
      </c>
      <c r="C18" s="254"/>
      <c r="D18" s="106" t="s">
        <v>120</v>
      </c>
      <c r="E18" s="68">
        <v>1382</v>
      </c>
      <c r="F18" s="68">
        <v>1347</v>
      </c>
      <c r="G18" s="68">
        <v>1313</v>
      </c>
      <c r="H18" s="68">
        <v>1286</v>
      </c>
      <c r="I18" s="68">
        <v>1244</v>
      </c>
      <c r="J18" s="68">
        <v>1194</v>
      </c>
      <c r="K18" s="68">
        <v>1119</v>
      </c>
      <c r="L18" s="68">
        <v>1068</v>
      </c>
      <c r="M18" s="68">
        <v>1034</v>
      </c>
      <c r="N18" s="68">
        <v>993</v>
      </c>
      <c r="O18" s="252"/>
      <c r="P18" s="184"/>
      <c r="Q18" s="178"/>
      <c r="R18" s="178"/>
      <c r="S18"/>
      <c r="T18" s="178"/>
      <c r="U18" s="178"/>
      <c r="W18" s="252"/>
      <c r="X18" s="184"/>
      <c r="Y18" s="178"/>
      <c r="Z18" s="178"/>
      <c r="AA18" s="178"/>
      <c r="AB18" s="178"/>
      <c r="AC18" s="178"/>
      <c r="AE18" s="180"/>
      <c r="AF18" s="185"/>
      <c r="AG18" s="181"/>
      <c r="AH18" s="181"/>
      <c r="AI18" s="181"/>
      <c r="AJ18" s="181"/>
      <c r="AK18" s="181"/>
      <c r="AL18" s="181"/>
      <c r="AN18" s="180"/>
      <c r="AO18" s="186"/>
      <c r="AP18" s="183"/>
      <c r="AQ18" s="183"/>
      <c r="AR18" s="183"/>
      <c r="AS18" s="183"/>
      <c r="AT18" s="183"/>
      <c r="AU18" s="183"/>
      <c r="AV18" s="183"/>
      <c r="AW18" s="183"/>
    </row>
    <row r="19" spans="2:49">
      <c r="B19" t="s">
        <v>147</v>
      </c>
      <c r="C19" s="254"/>
      <c r="D19" s="68" t="s">
        <v>121</v>
      </c>
      <c r="E19" s="68">
        <v>1426</v>
      </c>
      <c r="F19" s="68">
        <v>1389</v>
      </c>
      <c r="G19" s="68">
        <v>1353</v>
      </c>
      <c r="H19" s="68">
        <v>1318</v>
      </c>
      <c r="I19" s="68">
        <v>1289</v>
      </c>
      <c r="J19" s="68">
        <v>1241</v>
      </c>
      <c r="K19" s="68">
        <v>1179</v>
      </c>
      <c r="L19" s="68">
        <v>1111</v>
      </c>
      <c r="M19" s="68">
        <v>1068</v>
      </c>
      <c r="N19" s="68">
        <v>1034</v>
      </c>
      <c r="O19" s="252"/>
      <c r="P19" s="178"/>
      <c r="Q19" s="178"/>
      <c r="R19" s="178"/>
      <c r="S19"/>
      <c r="T19" s="178"/>
      <c r="U19" s="178"/>
      <c r="W19" s="252"/>
      <c r="X19" s="178"/>
      <c r="Y19" s="178"/>
      <c r="Z19" s="178"/>
      <c r="AA19" s="178"/>
      <c r="AB19" s="178"/>
      <c r="AC19" s="178"/>
      <c r="AE19" s="180"/>
      <c r="AF19" s="181"/>
      <c r="AG19" s="181"/>
      <c r="AH19" s="181"/>
      <c r="AI19" s="181"/>
      <c r="AJ19" s="181"/>
      <c r="AK19" s="181"/>
      <c r="AL19" s="181"/>
      <c r="AN19" s="180"/>
      <c r="AO19" s="182"/>
      <c r="AP19" s="183"/>
      <c r="AQ19" s="183"/>
      <c r="AR19" s="183"/>
      <c r="AS19" s="183"/>
      <c r="AT19" s="183"/>
      <c r="AU19" s="183"/>
      <c r="AV19" s="183"/>
      <c r="AW19" s="183"/>
    </row>
    <row r="20" spans="2:49">
      <c r="B20" t="s">
        <v>148</v>
      </c>
      <c r="C20" s="255"/>
      <c r="D20" s="68" t="s">
        <v>122</v>
      </c>
      <c r="E20" s="68">
        <v>1501</v>
      </c>
      <c r="F20" s="68">
        <v>1474</v>
      </c>
      <c r="G20" s="68">
        <v>1443</v>
      </c>
      <c r="H20" s="68">
        <v>1411</v>
      </c>
      <c r="I20" s="68">
        <v>1377</v>
      </c>
      <c r="J20" s="68">
        <v>1339</v>
      </c>
      <c r="K20" s="68">
        <v>1304</v>
      </c>
      <c r="L20" s="68">
        <v>1243</v>
      </c>
      <c r="M20" s="68">
        <v>1178</v>
      </c>
      <c r="N20" s="68">
        <v>1134</v>
      </c>
      <c r="O20" s="252"/>
      <c r="P20" s="178"/>
      <c r="Q20" s="178"/>
      <c r="R20" s="178"/>
      <c r="S20"/>
      <c r="T20" s="178"/>
      <c r="U20" s="178"/>
      <c r="W20" s="252"/>
      <c r="X20" s="178"/>
      <c r="Y20" s="178"/>
      <c r="Z20" s="178"/>
      <c r="AA20" s="178"/>
      <c r="AB20" s="178"/>
      <c r="AC20" s="178"/>
      <c r="AE20" s="180"/>
      <c r="AF20" s="181"/>
      <c r="AG20" s="181"/>
      <c r="AH20" s="181"/>
      <c r="AI20" s="181"/>
      <c r="AJ20" s="181"/>
      <c r="AK20" s="181"/>
      <c r="AL20" s="181"/>
      <c r="AN20" s="180"/>
      <c r="AO20" s="182"/>
      <c r="AP20" s="183"/>
      <c r="AQ20" s="183"/>
      <c r="AR20" s="183"/>
      <c r="AS20" s="183"/>
      <c r="AT20" s="183"/>
      <c r="AU20" s="183"/>
      <c r="AV20" s="183"/>
      <c r="AW20" s="183"/>
    </row>
    <row r="21" spans="2:49">
      <c r="B21" t="s">
        <v>149</v>
      </c>
      <c r="C21" s="253" t="s">
        <v>127</v>
      </c>
      <c r="D21" s="68">
        <v>1</v>
      </c>
      <c r="E21" s="68">
        <v>858</v>
      </c>
      <c r="F21" s="68">
        <v>798</v>
      </c>
      <c r="G21" s="68">
        <v>731</v>
      </c>
      <c r="H21" s="68">
        <v>661</v>
      </c>
      <c r="I21" s="68">
        <v>596</v>
      </c>
      <c r="J21" s="68">
        <v>536</v>
      </c>
      <c r="K21" s="68">
        <v>492</v>
      </c>
      <c r="L21" s="68">
        <v>450</v>
      </c>
      <c r="M21" s="68">
        <v>449</v>
      </c>
      <c r="N21" s="68">
        <v>449</v>
      </c>
      <c r="O21" s="252"/>
      <c r="P21" s="178"/>
      <c r="Q21" s="178"/>
      <c r="R21" s="178"/>
      <c r="S21"/>
      <c r="T21" s="178"/>
      <c r="U21" s="178"/>
      <c r="W21" s="252"/>
      <c r="X21" s="178"/>
      <c r="Y21" s="178"/>
      <c r="Z21" s="179"/>
      <c r="AA21" s="178"/>
      <c r="AB21" s="178"/>
      <c r="AC21" s="178"/>
      <c r="AE21" s="187"/>
      <c r="AF21" s="181"/>
      <c r="AG21" s="181"/>
      <c r="AH21" s="181"/>
      <c r="AI21" s="181"/>
      <c r="AJ21" s="181"/>
      <c r="AK21" s="181"/>
      <c r="AL21" s="181"/>
      <c r="AN21" s="188"/>
      <c r="AO21" s="182"/>
      <c r="AP21" s="183"/>
      <c r="AQ21" s="183"/>
      <c r="AR21" s="183"/>
      <c r="AS21" s="183"/>
      <c r="AT21" s="183"/>
      <c r="AU21" s="183"/>
      <c r="AV21" s="183"/>
      <c r="AW21" s="183"/>
    </row>
    <row r="22" spans="2:49">
      <c r="B22" t="s">
        <v>150</v>
      </c>
      <c r="C22" s="254"/>
      <c r="D22" s="106">
        <v>2</v>
      </c>
      <c r="E22" s="68">
        <v>1053</v>
      </c>
      <c r="F22" s="68">
        <v>1015</v>
      </c>
      <c r="G22" s="68">
        <v>962</v>
      </c>
      <c r="H22" s="68">
        <v>904</v>
      </c>
      <c r="I22" s="68">
        <v>848</v>
      </c>
      <c r="J22" s="68">
        <v>790</v>
      </c>
      <c r="K22" s="68">
        <v>738</v>
      </c>
      <c r="L22" s="68">
        <v>693</v>
      </c>
      <c r="M22" s="68">
        <v>643</v>
      </c>
      <c r="N22" s="68">
        <v>639</v>
      </c>
      <c r="O22" s="252"/>
      <c r="P22" s="178"/>
      <c r="Q22" s="178"/>
      <c r="R22" s="178"/>
      <c r="S22"/>
      <c r="T22" s="178"/>
      <c r="U22" s="178"/>
      <c r="W22" s="252"/>
      <c r="X22" s="184"/>
      <c r="Y22" s="178"/>
      <c r="Z22" s="178"/>
      <c r="AA22" s="178"/>
      <c r="AB22" s="178"/>
      <c r="AC22" s="178"/>
      <c r="AE22" s="188"/>
      <c r="AF22" s="181"/>
      <c r="AG22" s="181"/>
      <c r="AH22" s="181"/>
      <c r="AI22" s="181"/>
      <c r="AJ22" s="181"/>
      <c r="AK22" s="181"/>
      <c r="AL22" s="181"/>
      <c r="AN22" s="188"/>
      <c r="AO22" s="182"/>
      <c r="AP22" s="183"/>
      <c r="AQ22" s="183"/>
      <c r="AR22" s="183"/>
      <c r="AS22" s="183"/>
      <c r="AT22" s="183"/>
      <c r="AU22" s="183"/>
      <c r="AV22" s="183"/>
      <c r="AW22" s="183"/>
    </row>
    <row r="23" spans="2:49">
      <c r="B23" t="s">
        <v>151</v>
      </c>
      <c r="C23" s="254"/>
      <c r="D23" s="68">
        <v>3</v>
      </c>
      <c r="E23" s="68">
        <v>1202</v>
      </c>
      <c r="F23" s="68">
        <v>1160</v>
      </c>
      <c r="G23" s="68">
        <v>1116</v>
      </c>
      <c r="H23" s="68">
        <v>1068</v>
      </c>
      <c r="I23" s="68">
        <v>1013</v>
      </c>
      <c r="J23" s="68">
        <v>965</v>
      </c>
      <c r="K23" s="68">
        <v>911</v>
      </c>
      <c r="L23" s="68">
        <v>861</v>
      </c>
      <c r="M23" s="68">
        <v>818</v>
      </c>
      <c r="N23" s="68">
        <v>810</v>
      </c>
      <c r="O23" s="252"/>
      <c r="P23" s="184"/>
      <c r="Q23" s="178"/>
      <c r="R23" s="178"/>
      <c r="S23"/>
      <c r="T23" s="178"/>
      <c r="U23" s="178"/>
      <c r="W23" s="252"/>
      <c r="X23" s="178"/>
      <c r="Y23" s="178"/>
      <c r="Z23" s="178"/>
      <c r="AA23" s="178"/>
      <c r="AB23" s="178"/>
      <c r="AC23" s="178"/>
      <c r="AE23" s="188"/>
      <c r="AF23" s="185"/>
      <c r="AG23" s="181"/>
      <c r="AH23" s="181"/>
      <c r="AI23" s="181"/>
      <c r="AJ23" s="181"/>
      <c r="AK23" s="181"/>
      <c r="AL23" s="181"/>
      <c r="AN23" s="188"/>
      <c r="AO23" s="186"/>
      <c r="AP23" s="183"/>
      <c r="AQ23" s="183"/>
      <c r="AR23" s="183"/>
      <c r="AS23" s="183"/>
      <c r="AT23" s="183"/>
      <c r="AU23" s="183"/>
      <c r="AV23" s="183"/>
      <c r="AW23" s="183"/>
    </row>
    <row r="24" spans="2:49">
      <c r="B24" t="s">
        <v>152</v>
      </c>
      <c r="C24" s="254"/>
      <c r="D24" s="106" t="s">
        <v>123</v>
      </c>
      <c r="E24" s="68">
        <v>1343</v>
      </c>
      <c r="F24" s="68">
        <v>1318</v>
      </c>
      <c r="G24" s="68">
        <v>1281</v>
      </c>
      <c r="H24" s="68">
        <v>1240</v>
      </c>
      <c r="I24" s="68">
        <v>1196</v>
      </c>
      <c r="J24" s="68">
        <v>1160</v>
      </c>
      <c r="K24" s="68">
        <v>1106</v>
      </c>
      <c r="L24" s="68">
        <v>1060</v>
      </c>
      <c r="M24" s="68">
        <v>1014</v>
      </c>
      <c r="N24" s="68">
        <v>1008</v>
      </c>
      <c r="O24" s="252"/>
      <c r="P24" s="178"/>
      <c r="Q24" s="178"/>
      <c r="R24" s="178"/>
      <c r="S24"/>
      <c r="T24" s="178"/>
      <c r="U24" s="178"/>
      <c r="W24" s="252"/>
      <c r="X24" s="178"/>
      <c r="Y24" s="178"/>
      <c r="Z24" s="178"/>
      <c r="AA24" s="178"/>
      <c r="AB24" s="178"/>
      <c r="AC24" s="178"/>
      <c r="AE24" s="188"/>
      <c r="AF24" s="181"/>
      <c r="AG24" s="181"/>
      <c r="AH24" s="181"/>
      <c r="AI24" s="181"/>
      <c r="AJ24" s="181"/>
      <c r="AK24" s="181"/>
      <c r="AL24" s="181"/>
      <c r="AN24" s="188"/>
      <c r="AO24" s="182"/>
      <c r="AP24" s="183"/>
      <c r="AQ24" s="183"/>
      <c r="AR24" s="183"/>
      <c r="AS24" s="183"/>
      <c r="AT24" s="183"/>
      <c r="AU24" s="183"/>
      <c r="AV24" s="183"/>
      <c r="AW24" s="183"/>
    </row>
    <row r="25" spans="2:49">
      <c r="B25" t="s">
        <v>153</v>
      </c>
      <c r="C25" s="255"/>
      <c r="D25" s="68" t="s">
        <v>122</v>
      </c>
      <c r="E25" s="68">
        <v>1826</v>
      </c>
      <c r="F25" s="68">
        <v>1799</v>
      </c>
      <c r="G25" s="68">
        <v>1790</v>
      </c>
      <c r="H25" s="68">
        <v>1761</v>
      </c>
      <c r="I25" s="68">
        <v>1722</v>
      </c>
      <c r="J25" s="68">
        <v>1677</v>
      </c>
      <c r="K25" s="68">
        <v>1640</v>
      </c>
      <c r="L25" s="68">
        <v>1594</v>
      </c>
      <c r="M25" s="68">
        <v>1544</v>
      </c>
      <c r="N25" s="68">
        <v>1494</v>
      </c>
      <c r="O25" s="252"/>
      <c r="P25" s="178"/>
      <c r="Q25" s="178"/>
      <c r="R25" s="178"/>
      <c r="S25"/>
      <c r="T25" s="178"/>
      <c r="U25" s="178"/>
      <c r="W25" s="252"/>
      <c r="X25" s="184"/>
      <c r="Y25" s="178"/>
      <c r="Z25" s="178"/>
      <c r="AA25" s="178"/>
      <c r="AB25" s="178"/>
      <c r="AC25" s="178"/>
      <c r="AE25" s="188"/>
      <c r="AF25" s="181"/>
      <c r="AG25" s="181"/>
      <c r="AH25" s="181"/>
      <c r="AI25" s="181"/>
      <c r="AJ25" s="181"/>
      <c r="AK25" s="181"/>
      <c r="AL25" s="181"/>
      <c r="AN25" s="188"/>
      <c r="AO25" s="182"/>
      <c r="AP25" s="183"/>
      <c r="AQ25" s="183"/>
      <c r="AR25" s="183"/>
      <c r="AS25" s="183"/>
      <c r="AT25" s="183"/>
      <c r="AU25" s="183"/>
      <c r="AV25" s="183"/>
      <c r="AW25" s="183"/>
    </row>
  </sheetData>
  <sheetProtection algorithmName="SHA-512" hashValue="P5QyrAp/rrjXLgyC6AyV+g9vP8grgsP/ITYCVpUPlfemj2CK7wXt+UgQEedCpajvbHpauHO0N0e11LoXdIatQA==" saltValue="FgREpCZZ2/vWWVy5KR7vrA==" spinCount="100000" sheet="1" objects="1" scenarios="1"/>
  <mergeCells count="20">
    <mergeCell ref="AP4:AW4"/>
    <mergeCell ref="Y4:AC4"/>
    <mergeCell ref="Q4:U4"/>
    <mergeCell ref="O21:O23"/>
    <mergeCell ref="W21:W23"/>
    <mergeCell ref="C6:C10"/>
    <mergeCell ref="C11:C15"/>
    <mergeCell ref="C16:C20"/>
    <mergeCell ref="C21:C25"/>
    <mergeCell ref="AG4:AL4"/>
    <mergeCell ref="W24:W25"/>
    <mergeCell ref="O6:O8"/>
    <mergeCell ref="O9:O11"/>
    <mergeCell ref="O12:O14"/>
    <mergeCell ref="O15:O17"/>
    <mergeCell ref="O18:O20"/>
    <mergeCell ref="W6:W8"/>
    <mergeCell ref="W15:W17"/>
    <mergeCell ref="W18:W20"/>
    <mergeCell ref="O24:O25"/>
  </mergeCells>
  <phoneticPr fontId="3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dimension ref="C1:X52"/>
  <sheetViews>
    <sheetView showGridLines="0" zoomScale="80" zoomScaleNormal="80" workbookViewId="0">
      <selection activeCell="E2" sqref="E2"/>
    </sheetView>
  </sheetViews>
  <sheetFormatPr defaultRowHeight="13.5"/>
  <cols>
    <col min="2" max="2" width="6.28515625" customWidth="1"/>
    <col min="3" max="3" width="46.5703125" bestFit="1" customWidth="1"/>
    <col min="4" max="4" width="15" style="66" customWidth="1"/>
    <col min="5" max="6" width="10.7109375" style="66" customWidth="1"/>
    <col min="7" max="7" width="11.7109375" style="66" customWidth="1"/>
    <col min="8" max="8" width="12.28515625" style="66" customWidth="1"/>
    <col min="9" max="16" width="7.28515625" style="66" customWidth="1"/>
  </cols>
  <sheetData>
    <row r="1" spans="3:24" ht="15">
      <c r="D1" s="53"/>
      <c r="E1" s="51"/>
      <c r="F1" s="51"/>
      <c r="G1" s="54"/>
      <c r="H1" s="51"/>
      <c r="I1" s="52"/>
      <c r="J1" s="52"/>
      <c r="K1" s="52"/>
      <c r="L1" s="52"/>
      <c r="M1" s="52"/>
      <c r="N1" s="52"/>
      <c r="O1" s="52"/>
      <c r="P1" s="52"/>
    </row>
    <row r="2" spans="3:24" ht="15">
      <c r="D2" s="53"/>
      <c r="E2" s="51"/>
      <c r="F2" s="51"/>
      <c r="G2" s="54"/>
      <c r="H2" s="51"/>
      <c r="I2" s="52"/>
      <c r="J2" s="52"/>
      <c r="K2" s="52"/>
      <c r="L2" s="52"/>
      <c r="M2" s="52"/>
      <c r="N2" s="52"/>
      <c r="O2" s="52"/>
      <c r="P2" s="52"/>
    </row>
    <row r="3" spans="3:24" ht="13.5" customHeight="1">
      <c r="D3" s="75" t="s">
        <v>57</v>
      </c>
      <c r="E3" s="76"/>
      <c r="F3" s="76"/>
      <c r="G3" s="76"/>
      <c r="H3" s="76"/>
      <c r="I3" s="77"/>
      <c r="J3" s="77"/>
      <c r="K3" s="77"/>
      <c r="L3" s="77"/>
      <c r="M3" s="77"/>
      <c r="N3" s="77"/>
      <c r="O3" s="77"/>
      <c r="P3" s="77"/>
    </row>
    <row r="4" spans="3:24" ht="36.75" customHeight="1">
      <c r="D4" s="268" t="s">
        <v>1</v>
      </c>
      <c r="E4" s="267" t="s">
        <v>62</v>
      </c>
      <c r="F4" s="266" t="s">
        <v>63</v>
      </c>
      <c r="G4" s="266" t="s">
        <v>64</v>
      </c>
      <c r="H4" s="266"/>
      <c r="I4" s="266" t="s">
        <v>65</v>
      </c>
      <c r="J4" s="266"/>
      <c r="K4" s="266" t="s">
        <v>223</v>
      </c>
      <c r="L4" s="266"/>
      <c r="M4" s="266" t="s">
        <v>66</v>
      </c>
      <c r="N4" s="266"/>
      <c r="O4" s="266" t="s">
        <v>229</v>
      </c>
      <c r="P4" s="266"/>
    </row>
    <row r="5" spans="3:24" ht="15">
      <c r="D5" s="268"/>
      <c r="E5" s="267"/>
      <c r="F5" s="266"/>
      <c r="G5" s="148" t="s">
        <v>228</v>
      </c>
      <c r="H5" s="148" t="s">
        <v>58</v>
      </c>
      <c r="I5" s="266"/>
      <c r="J5" s="266"/>
      <c r="K5" s="266"/>
      <c r="L5" s="266"/>
      <c r="M5" s="266"/>
      <c r="N5" s="266"/>
      <c r="O5" s="266"/>
      <c r="P5" s="266"/>
    </row>
    <row r="6" spans="3:24">
      <c r="D6" s="268"/>
      <c r="E6" s="267"/>
      <c r="F6" s="266"/>
      <c r="G6" s="69" t="s">
        <v>59</v>
      </c>
      <c r="H6" s="69" t="s">
        <v>59</v>
      </c>
      <c r="I6" s="259" t="s">
        <v>59</v>
      </c>
      <c r="J6" s="260"/>
      <c r="K6" s="259" t="s">
        <v>59</v>
      </c>
      <c r="L6" s="260"/>
      <c r="M6" s="259" t="s">
        <v>59</v>
      </c>
      <c r="N6" s="260"/>
      <c r="O6" s="259" t="s">
        <v>59</v>
      </c>
      <c r="P6" s="260"/>
    </row>
    <row r="7" spans="3:24">
      <c r="C7" t="s">
        <v>230</v>
      </c>
      <c r="D7" s="55">
        <v>2</v>
      </c>
      <c r="E7" s="204">
        <v>1</v>
      </c>
      <c r="F7" s="56">
        <v>0</v>
      </c>
      <c r="G7" s="56">
        <v>0</v>
      </c>
      <c r="H7" s="56">
        <v>0</v>
      </c>
      <c r="I7" s="261">
        <v>3.9</v>
      </c>
      <c r="J7" s="262"/>
      <c r="K7" s="261">
        <v>3.9</v>
      </c>
      <c r="L7" s="262"/>
      <c r="M7" s="261">
        <v>4.9000000000000004</v>
      </c>
      <c r="N7" s="262"/>
      <c r="O7" s="257">
        <v>15</v>
      </c>
      <c r="P7" s="258"/>
      <c r="R7">
        <v>2</v>
      </c>
      <c r="U7" t="s">
        <v>55</v>
      </c>
      <c r="V7">
        <v>1</v>
      </c>
      <c r="X7" t="s">
        <v>48</v>
      </c>
    </row>
    <row r="8" spans="3:24">
      <c r="C8" t="s">
        <v>231</v>
      </c>
      <c r="D8" s="55">
        <v>3</v>
      </c>
      <c r="E8" s="57">
        <v>1</v>
      </c>
      <c r="F8" s="56">
        <v>0</v>
      </c>
      <c r="G8" s="56">
        <v>0</v>
      </c>
      <c r="H8" s="56">
        <v>0</v>
      </c>
      <c r="I8" s="261">
        <v>5.8</v>
      </c>
      <c r="J8" s="262"/>
      <c r="K8" s="261">
        <v>5.8</v>
      </c>
      <c r="L8" s="262"/>
      <c r="M8" s="261">
        <v>7.3</v>
      </c>
      <c r="N8" s="262"/>
      <c r="O8" s="257">
        <v>15</v>
      </c>
      <c r="P8" s="258"/>
      <c r="R8">
        <v>3</v>
      </c>
      <c r="U8" t="s">
        <v>55</v>
      </c>
      <c r="V8">
        <v>1</v>
      </c>
      <c r="X8" t="s">
        <v>48</v>
      </c>
    </row>
    <row r="9" spans="3:24">
      <c r="C9" t="s">
        <v>232</v>
      </c>
      <c r="D9" s="203">
        <v>4</v>
      </c>
      <c r="E9" s="57">
        <v>1</v>
      </c>
      <c r="F9" s="56">
        <v>0</v>
      </c>
      <c r="G9" s="56">
        <v>0</v>
      </c>
      <c r="H9" s="56">
        <v>0</v>
      </c>
      <c r="I9" s="261">
        <v>8.6999999999999993</v>
      </c>
      <c r="J9" s="262"/>
      <c r="K9" s="261">
        <v>8.6999999999999993</v>
      </c>
      <c r="L9" s="262"/>
      <c r="M9" s="261">
        <v>10.9</v>
      </c>
      <c r="N9" s="262"/>
      <c r="O9" s="257">
        <v>15</v>
      </c>
      <c r="P9" s="258"/>
      <c r="R9">
        <v>4</v>
      </c>
      <c r="U9" t="s">
        <v>55</v>
      </c>
      <c r="V9">
        <v>1</v>
      </c>
      <c r="X9" t="s">
        <v>48</v>
      </c>
    </row>
    <row r="10" spans="3:24">
      <c r="C10" t="s">
        <v>233</v>
      </c>
      <c r="D10" s="55">
        <v>5</v>
      </c>
      <c r="E10" s="204">
        <v>1</v>
      </c>
      <c r="F10" s="56">
        <v>0</v>
      </c>
      <c r="G10" s="56">
        <v>0</v>
      </c>
      <c r="H10" s="56">
        <v>0</v>
      </c>
      <c r="I10" s="261">
        <v>8.6999999999999993</v>
      </c>
      <c r="J10" s="262"/>
      <c r="K10" s="261">
        <v>8.6999999999999993</v>
      </c>
      <c r="L10" s="262"/>
      <c r="M10" s="261">
        <v>10.9</v>
      </c>
      <c r="N10" s="262"/>
      <c r="O10" s="257">
        <v>15</v>
      </c>
      <c r="P10" s="258"/>
      <c r="R10">
        <v>5</v>
      </c>
      <c r="U10" t="s">
        <v>55</v>
      </c>
      <c r="V10">
        <v>1</v>
      </c>
      <c r="X10" t="s">
        <v>48</v>
      </c>
    </row>
    <row r="11" spans="3:24">
      <c r="D11" s="58"/>
      <c r="E11" s="59"/>
      <c r="F11" s="35"/>
      <c r="G11" s="35"/>
      <c r="H11" s="60"/>
      <c r="I11" s="35"/>
      <c r="J11" s="60"/>
      <c r="K11" s="35"/>
      <c r="L11" s="60"/>
      <c r="M11" s="35"/>
      <c r="N11" s="35"/>
      <c r="O11" s="59"/>
      <c r="P11" s="59"/>
    </row>
    <row r="12" spans="3:24">
      <c r="D12" s="58"/>
      <c r="E12" s="59"/>
      <c r="F12" s="35"/>
      <c r="G12" s="35"/>
      <c r="H12" s="60"/>
      <c r="I12" s="35"/>
      <c r="J12" s="60"/>
      <c r="K12" s="35"/>
      <c r="L12" s="60"/>
      <c r="M12" s="35"/>
      <c r="N12" s="35"/>
      <c r="O12" s="59"/>
      <c r="P12" s="59"/>
    </row>
    <row r="13" spans="3:24" ht="15">
      <c r="D13" s="75" t="s">
        <v>72</v>
      </c>
      <c r="E13" s="71"/>
      <c r="F13" s="72"/>
      <c r="G13" s="72"/>
      <c r="H13" s="73"/>
      <c r="I13" s="72"/>
      <c r="J13" s="73"/>
      <c r="K13" s="72"/>
      <c r="L13" s="73"/>
      <c r="M13" s="72"/>
      <c r="N13" s="72"/>
      <c r="O13" s="74"/>
      <c r="P13" s="74"/>
    </row>
    <row r="14" spans="3:24" ht="36.75" customHeight="1">
      <c r="D14" s="267" t="s">
        <v>1</v>
      </c>
      <c r="E14" s="267" t="s">
        <v>62</v>
      </c>
      <c r="F14" s="266" t="s">
        <v>63</v>
      </c>
      <c r="G14" s="266" t="s">
        <v>64</v>
      </c>
      <c r="H14" s="266"/>
      <c r="I14" s="266" t="s">
        <v>65</v>
      </c>
      <c r="J14" s="266"/>
      <c r="K14" s="266" t="s">
        <v>223</v>
      </c>
      <c r="L14" s="266"/>
      <c r="M14" s="266" t="s">
        <v>66</v>
      </c>
      <c r="N14" s="266"/>
      <c r="O14" s="266" t="s">
        <v>67</v>
      </c>
      <c r="P14" s="266"/>
    </row>
    <row r="15" spans="3:24" ht="33" customHeight="1">
      <c r="D15" s="267"/>
      <c r="E15" s="267"/>
      <c r="F15" s="266"/>
      <c r="G15" s="70" t="s">
        <v>68</v>
      </c>
      <c r="H15" s="70" t="s">
        <v>58</v>
      </c>
      <c r="I15" s="266"/>
      <c r="J15" s="266"/>
      <c r="K15" s="266"/>
      <c r="L15" s="266"/>
      <c r="M15" s="266"/>
      <c r="N15" s="266"/>
      <c r="O15" s="266"/>
      <c r="P15" s="266"/>
    </row>
    <row r="16" spans="3:24" ht="13.5" customHeight="1">
      <c r="D16" s="267"/>
      <c r="E16" s="267"/>
      <c r="F16" s="266"/>
      <c r="G16" s="70" t="s">
        <v>69</v>
      </c>
      <c r="H16" s="70" t="s">
        <v>69</v>
      </c>
      <c r="I16" s="148" t="s">
        <v>60</v>
      </c>
      <c r="J16" s="148" t="s">
        <v>61</v>
      </c>
      <c r="K16" s="70" t="s">
        <v>60</v>
      </c>
      <c r="L16" s="70" t="s">
        <v>61</v>
      </c>
      <c r="M16" s="70" t="s">
        <v>60</v>
      </c>
      <c r="N16" s="70" t="s">
        <v>61</v>
      </c>
      <c r="O16" s="70" t="s">
        <v>60</v>
      </c>
      <c r="P16" s="70" t="s">
        <v>61</v>
      </c>
    </row>
    <row r="17" spans="3:24">
      <c r="C17" t="s">
        <v>234</v>
      </c>
      <c r="D17" s="263">
        <v>2</v>
      </c>
      <c r="E17" s="84" t="s">
        <v>70</v>
      </c>
      <c r="F17" s="202">
        <v>0</v>
      </c>
      <c r="G17" s="61">
        <v>0</v>
      </c>
      <c r="H17" s="62">
        <v>0</v>
      </c>
      <c r="I17" s="63">
        <v>2.7</v>
      </c>
      <c r="J17" s="63">
        <v>2.6</v>
      </c>
      <c r="K17" s="63">
        <v>2.7</v>
      </c>
      <c r="L17" s="63">
        <v>2.6</v>
      </c>
      <c r="M17" s="64">
        <v>3.4</v>
      </c>
      <c r="N17" s="64">
        <v>3.3</v>
      </c>
      <c r="O17" s="65">
        <v>15</v>
      </c>
      <c r="P17" s="61">
        <v>15</v>
      </c>
      <c r="R17">
        <v>2</v>
      </c>
      <c r="U17" t="s">
        <v>55</v>
      </c>
      <c r="V17">
        <v>1</v>
      </c>
      <c r="X17" t="s">
        <v>33</v>
      </c>
    </row>
    <row r="18" spans="3:24">
      <c r="C18" t="s">
        <v>235</v>
      </c>
      <c r="D18" s="264"/>
      <c r="E18" s="147" t="s">
        <v>70</v>
      </c>
      <c r="F18" s="202">
        <v>5</v>
      </c>
      <c r="G18" s="61">
        <v>5</v>
      </c>
      <c r="H18" s="62">
        <v>17061</v>
      </c>
      <c r="I18" s="63">
        <v>2.7</v>
      </c>
      <c r="J18" s="63">
        <v>2.6</v>
      </c>
      <c r="K18" s="63">
        <v>20.8</v>
      </c>
      <c r="L18" s="63">
        <v>23.4</v>
      </c>
      <c r="M18" s="64">
        <v>25.9</v>
      </c>
      <c r="N18" s="64">
        <v>29.3</v>
      </c>
      <c r="O18" s="65">
        <v>30</v>
      </c>
      <c r="P18" s="61" t="s">
        <v>220</v>
      </c>
      <c r="R18">
        <v>2</v>
      </c>
      <c r="U18" t="s">
        <v>227</v>
      </c>
      <c r="V18">
        <v>1</v>
      </c>
      <c r="X18" t="s">
        <v>33</v>
      </c>
    </row>
    <row r="19" spans="3:24" ht="13.5" customHeight="1">
      <c r="C19" t="s">
        <v>236</v>
      </c>
      <c r="D19" s="264"/>
      <c r="E19" s="147" t="s">
        <v>70</v>
      </c>
      <c r="F19" s="201">
        <v>7.5</v>
      </c>
      <c r="G19" s="61">
        <v>7.5</v>
      </c>
      <c r="H19" s="62">
        <v>25591</v>
      </c>
      <c r="I19" s="63">
        <v>2.7</v>
      </c>
      <c r="J19" s="63">
        <v>2.6</v>
      </c>
      <c r="K19" s="63">
        <v>29.8</v>
      </c>
      <c r="L19" s="63">
        <v>33.9</v>
      </c>
      <c r="M19" s="64">
        <v>37.200000000000003</v>
      </c>
      <c r="N19" s="64">
        <v>42.3</v>
      </c>
      <c r="O19" s="65">
        <v>40</v>
      </c>
      <c r="P19" s="61">
        <v>45</v>
      </c>
      <c r="R19">
        <v>2</v>
      </c>
      <c r="U19" t="s">
        <v>79</v>
      </c>
      <c r="V19">
        <v>1</v>
      </c>
      <c r="X19" t="s">
        <v>33</v>
      </c>
    </row>
    <row r="20" spans="3:24" ht="13.5" customHeight="1">
      <c r="C20" t="s">
        <v>237</v>
      </c>
      <c r="D20" s="265"/>
      <c r="E20" s="147" t="s">
        <v>70</v>
      </c>
      <c r="F20" s="202">
        <v>10</v>
      </c>
      <c r="G20" s="61">
        <v>10</v>
      </c>
      <c r="H20" s="62">
        <v>34121</v>
      </c>
      <c r="I20" s="63">
        <v>2.7</v>
      </c>
      <c r="J20" s="63">
        <v>2.6</v>
      </c>
      <c r="K20" s="63">
        <v>38.799999999999997</v>
      </c>
      <c r="L20" s="63">
        <v>44.3</v>
      </c>
      <c r="M20" s="64">
        <v>48.5</v>
      </c>
      <c r="N20" s="64">
        <v>55.3</v>
      </c>
      <c r="O20" s="65">
        <v>50</v>
      </c>
      <c r="P20" s="61">
        <v>60</v>
      </c>
      <c r="R20">
        <v>2</v>
      </c>
      <c r="U20" t="s">
        <v>210</v>
      </c>
      <c r="V20">
        <v>1</v>
      </c>
      <c r="X20" t="s">
        <v>33</v>
      </c>
    </row>
    <row r="21" spans="3:24">
      <c r="C21" t="s">
        <v>238</v>
      </c>
      <c r="D21" s="264">
        <v>3</v>
      </c>
      <c r="E21" s="147" t="s">
        <v>70</v>
      </c>
      <c r="F21" s="202">
        <v>0</v>
      </c>
      <c r="G21" s="61">
        <v>0</v>
      </c>
      <c r="H21" s="62">
        <v>0</v>
      </c>
      <c r="I21" s="63">
        <v>3.9</v>
      </c>
      <c r="J21" s="63">
        <v>3.9</v>
      </c>
      <c r="K21" s="63">
        <v>3.9</v>
      </c>
      <c r="L21" s="63">
        <v>3.9</v>
      </c>
      <c r="M21" s="64">
        <v>4.9000000000000004</v>
      </c>
      <c r="N21" s="64">
        <v>4.9000000000000004</v>
      </c>
      <c r="O21" s="65">
        <v>15</v>
      </c>
      <c r="P21" s="61">
        <v>15</v>
      </c>
      <c r="R21">
        <v>3</v>
      </c>
      <c r="U21" t="s">
        <v>55</v>
      </c>
      <c r="V21">
        <v>1</v>
      </c>
      <c r="X21" t="s">
        <v>33</v>
      </c>
    </row>
    <row r="22" spans="3:24" ht="15">
      <c r="C22" t="s">
        <v>239</v>
      </c>
      <c r="D22" s="264"/>
      <c r="E22" s="147" t="s">
        <v>70</v>
      </c>
      <c r="F22" s="201">
        <v>5</v>
      </c>
      <c r="G22" s="61">
        <v>5</v>
      </c>
      <c r="H22" s="62">
        <v>17061</v>
      </c>
      <c r="I22" s="63">
        <v>3.9</v>
      </c>
      <c r="J22" s="63">
        <v>3.9</v>
      </c>
      <c r="K22" s="63">
        <v>22</v>
      </c>
      <c r="L22" s="63">
        <v>24.7</v>
      </c>
      <c r="M22" s="64">
        <v>27.4</v>
      </c>
      <c r="N22" s="64">
        <v>30.9</v>
      </c>
      <c r="O22" s="65">
        <v>30</v>
      </c>
      <c r="P22" s="61">
        <v>35</v>
      </c>
      <c r="R22">
        <v>3</v>
      </c>
      <c r="U22" t="s">
        <v>227</v>
      </c>
      <c r="V22">
        <v>1</v>
      </c>
      <c r="X22" t="s">
        <v>33</v>
      </c>
    </row>
    <row r="23" spans="3:24">
      <c r="C23" t="s">
        <v>240</v>
      </c>
      <c r="D23" s="264"/>
      <c r="E23" s="147" t="s">
        <v>70</v>
      </c>
      <c r="F23" s="202">
        <v>7.5</v>
      </c>
      <c r="G23" s="61">
        <v>7.5</v>
      </c>
      <c r="H23" s="62">
        <v>25591</v>
      </c>
      <c r="I23" s="63">
        <v>3.9</v>
      </c>
      <c r="J23" s="63">
        <v>3.9</v>
      </c>
      <c r="K23" s="63">
        <v>31</v>
      </c>
      <c r="L23" s="63">
        <v>35.200000000000003</v>
      </c>
      <c r="M23" s="64">
        <v>38.700000000000003</v>
      </c>
      <c r="N23" s="64">
        <v>43.9</v>
      </c>
      <c r="O23" s="65">
        <v>40</v>
      </c>
      <c r="P23" s="61">
        <v>45</v>
      </c>
      <c r="R23">
        <v>3</v>
      </c>
      <c r="U23" t="s">
        <v>79</v>
      </c>
      <c r="V23">
        <v>1</v>
      </c>
      <c r="X23" t="s">
        <v>33</v>
      </c>
    </row>
    <row r="24" spans="3:24" ht="13.5" customHeight="1">
      <c r="C24" t="s">
        <v>241</v>
      </c>
      <c r="D24" s="264"/>
      <c r="E24" s="147" t="s">
        <v>70</v>
      </c>
      <c r="F24" s="202">
        <v>10</v>
      </c>
      <c r="G24" s="61">
        <v>10</v>
      </c>
      <c r="H24" s="62">
        <v>34121</v>
      </c>
      <c r="I24" s="63">
        <v>3.9</v>
      </c>
      <c r="J24" s="63">
        <v>3.9</v>
      </c>
      <c r="K24" s="63">
        <v>40</v>
      </c>
      <c r="L24" s="63">
        <v>45.6</v>
      </c>
      <c r="M24" s="64">
        <v>50</v>
      </c>
      <c r="N24" s="64">
        <v>57</v>
      </c>
      <c r="O24" s="65">
        <v>50</v>
      </c>
      <c r="P24" s="61">
        <v>60</v>
      </c>
      <c r="R24">
        <v>3</v>
      </c>
      <c r="U24" t="s">
        <v>210</v>
      </c>
      <c r="V24">
        <v>1</v>
      </c>
      <c r="X24" t="s">
        <v>33</v>
      </c>
    </row>
    <row r="25" spans="3:24" ht="13.5" customHeight="1">
      <c r="C25" t="s">
        <v>242</v>
      </c>
      <c r="D25" s="264"/>
      <c r="E25" s="147" t="s">
        <v>70</v>
      </c>
      <c r="F25" s="202">
        <v>12.5</v>
      </c>
      <c r="G25" s="61">
        <v>8.3000000000000007</v>
      </c>
      <c r="H25" s="62">
        <v>28321</v>
      </c>
      <c r="I25" s="63">
        <v>3.9</v>
      </c>
      <c r="J25" s="63">
        <v>3.9</v>
      </c>
      <c r="K25" s="63">
        <v>33.9</v>
      </c>
      <c r="L25" s="63">
        <v>38.5</v>
      </c>
      <c r="M25" s="64">
        <v>42.3</v>
      </c>
      <c r="N25" s="64">
        <v>48.1</v>
      </c>
      <c r="O25" s="65">
        <v>45</v>
      </c>
      <c r="P25" s="61">
        <v>50</v>
      </c>
      <c r="R25">
        <v>3</v>
      </c>
      <c r="U25" t="s">
        <v>211</v>
      </c>
      <c r="V25">
        <v>1</v>
      </c>
      <c r="X25" t="s">
        <v>33</v>
      </c>
    </row>
    <row r="26" spans="3:24" ht="13.5" customHeight="1">
      <c r="C26" t="s">
        <v>243</v>
      </c>
      <c r="D26" s="264"/>
      <c r="E26" s="147" t="s">
        <v>71</v>
      </c>
      <c r="F26" s="202">
        <v>12.5</v>
      </c>
      <c r="G26" s="61">
        <v>4.2</v>
      </c>
      <c r="H26" s="62">
        <v>14331</v>
      </c>
      <c r="I26" s="63">
        <v>0</v>
      </c>
      <c r="J26" s="63">
        <v>0</v>
      </c>
      <c r="K26" s="63">
        <v>15.2</v>
      </c>
      <c r="L26" s="63">
        <v>17.5</v>
      </c>
      <c r="M26" s="64">
        <v>19</v>
      </c>
      <c r="N26" s="64">
        <v>21.9</v>
      </c>
      <c r="O26" s="65">
        <v>20</v>
      </c>
      <c r="P26" s="61">
        <v>25</v>
      </c>
      <c r="R26">
        <v>3</v>
      </c>
      <c r="U26" t="s">
        <v>211</v>
      </c>
      <c r="V26">
        <v>2</v>
      </c>
      <c r="X26" t="s">
        <v>33</v>
      </c>
    </row>
    <row r="27" spans="3:24" ht="13.5" customHeight="1">
      <c r="C27" t="s">
        <v>244</v>
      </c>
      <c r="D27" s="264"/>
      <c r="E27" s="147" t="s">
        <v>70</v>
      </c>
      <c r="F27" s="202">
        <v>15</v>
      </c>
      <c r="G27" s="61">
        <v>10</v>
      </c>
      <c r="H27" s="62">
        <v>34121</v>
      </c>
      <c r="I27" s="63">
        <v>3.9</v>
      </c>
      <c r="J27" s="63">
        <v>3.9</v>
      </c>
      <c r="K27" s="63">
        <v>40</v>
      </c>
      <c r="L27" s="63">
        <v>45.6</v>
      </c>
      <c r="M27" s="64">
        <v>50</v>
      </c>
      <c r="N27" s="64">
        <v>57</v>
      </c>
      <c r="O27" s="65">
        <v>50</v>
      </c>
      <c r="P27" s="61">
        <v>60</v>
      </c>
      <c r="R27">
        <v>3</v>
      </c>
      <c r="U27" t="s">
        <v>212</v>
      </c>
      <c r="V27">
        <v>1</v>
      </c>
      <c r="X27" t="s">
        <v>33</v>
      </c>
    </row>
    <row r="28" spans="3:24">
      <c r="C28" t="s">
        <v>245</v>
      </c>
      <c r="D28" s="265"/>
      <c r="E28" s="147" t="s">
        <v>71</v>
      </c>
      <c r="F28" s="202">
        <v>15</v>
      </c>
      <c r="G28" s="61">
        <v>5</v>
      </c>
      <c r="H28" s="62">
        <v>17061</v>
      </c>
      <c r="I28" s="63">
        <v>0</v>
      </c>
      <c r="J28" s="63">
        <v>0</v>
      </c>
      <c r="K28" s="63">
        <v>18.100000000000001</v>
      </c>
      <c r="L28" s="63">
        <v>20.8</v>
      </c>
      <c r="M28" s="64">
        <v>22.6</v>
      </c>
      <c r="N28" s="64">
        <v>26</v>
      </c>
      <c r="O28" s="65">
        <v>25</v>
      </c>
      <c r="P28" s="61">
        <v>30</v>
      </c>
      <c r="R28">
        <v>3</v>
      </c>
      <c r="U28" t="s">
        <v>212</v>
      </c>
      <c r="V28">
        <v>2</v>
      </c>
      <c r="X28" t="s">
        <v>33</v>
      </c>
    </row>
    <row r="29" spans="3:24" ht="13.5" customHeight="1">
      <c r="C29" t="s">
        <v>246</v>
      </c>
      <c r="D29" s="263">
        <v>4</v>
      </c>
      <c r="E29" s="147" t="s">
        <v>70</v>
      </c>
      <c r="F29" s="201">
        <v>0</v>
      </c>
      <c r="G29" s="61">
        <v>0</v>
      </c>
      <c r="H29" s="62">
        <v>0</v>
      </c>
      <c r="I29" s="63">
        <v>6</v>
      </c>
      <c r="J29" s="63">
        <v>5.8</v>
      </c>
      <c r="K29" s="63">
        <v>6</v>
      </c>
      <c r="L29" s="63">
        <v>5.8</v>
      </c>
      <c r="M29" s="64">
        <v>7.5</v>
      </c>
      <c r="N29" s="64">
        <v>7.3</v>
      </c>
      <c r="O29" s="65">
        <v>15</v>
      </c>
      <c r="P29" s="61">
        <v>15</v>
      </c>
      <c r="R29">
        <v>4</v>
      </c>
      <c r="U29" t="s">
        <v>55</v>
      </c>
      <c r="V29">
        <v>1</v>
      </c>
      <c r="X29" t="s">
        <v>33</v>
      </c>
    </row>
    <row r="30" spans="3:24" ht="13.5" customHeight="1">
      <c r="C30" t="s">
        <v>247</v>
      </c>
      <c r="D30" s="264"/>
      <c r="E30" s="147" t="s">
        <v>70</v>
      </c>
      <c r="F30" s="201">
        <v>5</v>
      </c>
      <c r="G30" s="61">
        <v>5</v>
      </c>
      <c r="H30" s="62">
        <v>17061</v>
      </c>
      <c r="I30" s="63">
        <v>6</v>
      </c>
      <c r="J30" s="63">
        <v>5.8</v>
      </c>
      <c r="K30" s="63">
        <v>24.1</v>
      </c>
      <c r="L30" s="63">
        <v>26.6</v>
      </c>
      <c r="M30" s="64">
        <v>30.1</v>
      </c>
      <c r="N30" s="64">
        <v>33.299999999999997</v>
      </c>
      <c r="O30" s="65">
        <v>35</v>
      </c>
      <c r="P30" s="61">
        <v>35</v>
      </c>
      <c r="R30">
        <v>4</v>
      </c>
      <c r="U30" t="s">
        <v>227</v>
      </c>
      <c r="V30">
        <v>1</v>
      </c>
      <c r="X30" t="s">
        <v>33</v>
      </c>
    </row>
    <row r="31" spans="3:24" ht="13.5" customHeight="1">
      <c r="C31" t="s">
        <v>248</v>
      </c>
      <c r="D31" s="264"/>
      <c r="E31" s="147" t="s">
        <v>70</v>
      </c>
      <c r="F31" s="202">
        <v>7.5</v>
      </c>
      <c r="G31" s="61">
        <v>7.5</v>
      </c>
      <c r="H31" s="62">
        <v>25591</v>
      </c>
      <c r="I31" s="63">
        <v>6</v>
      </c>
      <c r="J31" s="63">
        <v>5.8</v>
      </c>
      <c r="K31" s="63">
        <v>33.1</v>
      </c>
      <c r="L31" s="63">
        <v>37.1</v>
      </c>
      <c r="M31" s="64">
        <v>41.4</v>
      </c>
      <c r="N31" s="64">
        <v>46.3</v>
      </c>
      <c r="O31" s="65">
        <v>45</v>
      </c>
      <c r="P31" s="61" t="s">
        <v>221</v>
      </c>
      <c r="R31">
        <v>4</v>
      </c>
      <c r="U31" t="s">
        <v>79</v>
      </c>
      <c r="V31">
        <v>1</v>
      </c>
      <c r="X31" t="s">
        <v>33</v>
      </c>
    </row>
    <row r="32" spans="3:24" ht="13.5" customHeight="1">
      <c r="C32" t="s">
        <v>249</v>
      </c>
      <c r="D32" s="264"/>
      <c r="E32" s="147" t="s">
        <v>70</v>
      </c>
      <c r="F32" s="202">
        <v>10</v>
      </c>
      <c r="G32" s="61">
        <v>10</v>
      </c>
      <c r="H32" s="62">
        <v>34121</v>
      </c>
      <c r="I32" s="63">
        <v>6</v>
      </c>
      <c r="J32" s="63">
        <v>5.8</v>
      </c>
      <c r="K32" s="63">
        <v>42.1</v>
      </c>
      <c r="L32" s="63">
        <v>47.5</v>
      </c>
      <c r="M32" s="64">
        <v>52.6</v>
      </c>
      <c r="N32" s="64">
        <v>59.3</v>
      </c>
      <c r="O32" s="65">
        <v>60</v>
      </c>
      <c r="P32" s="61">
        <v>60</v>
      </c>
      <c r="R32">
        <v>4</v>
      </c>
      <c r="U32" t="s">
        <v>210</v>
      </c>
      <c r="V32">
        <v>1</v>
      </c>
      <c r="X32" t="s">
        <v>33</v>
      </c>
    </row>
    <row r="33" spans="3:24" ht="13.5" customHeight="1">
      <c r="C33" t="s">
        <v>250</v>
      </c>
      <c r="D33" s="264"/>
      <c r="E33" s="147" t="s">
        <v>70</v>
      </c>
      <c r="F33" s="202">
        <v>12.5</v>
      </c>
      <c r="G33" s="61">
        <v>8.3000000000000007</v>
      </c>
      <c r="H33" s="62">
        <v>28321</v>
      </c>
      <c r="I33" s="63">
        <v>6</v>
      </c>
      <c r="J33" s="63">
        <v>5.8</v>
      </c>
      <c r="K33" s="63">
        <v>36</v>
      </c>
      <c r="L33" s="63">
        <v>40.4</v>
      </c>
      <c r="M33" s="64">
        <v>45</v>
      </c>
      <c r="N33" s="64">
        <v>50.5</v>
      </c>
      <c r="O33" s="65">
        <v>45</v>
      </c>
      <c r="P33" s="61" t="s">
        <v>222</v>
      </c>
      <c r="R33">
        <v>4</v>
      </c>
      <c r="U33" t="s">
        <v>211</v>
      </c>
      <c r="V33">
        <v>1</v>
      </c>
      <c r="X33" t="s">
        <v>33</v>
      </c>
    </row>
    <row r="34" spans="3:24" ht="13.5" customHeight="1">
      <c r="C34" t="s">
        <v>251</v>
      </c>
      <c r="D34" s="264"/>
      <c r="E34" s="147" t="s">
        <v>71</v>
      </c>
      <c r="F34" s="201">
        <v>12.5</v>
      </c>
      <c r="G34" s="61">
        <v>4.2</v>
      </c>
      <c r="H34" s="62">
        <v>14331</v>
      </c>
      <c r="I34" s="63">
        <v>0</v>
      </c>
      <c r="J34" s="63">
        <v>0</v>
      </c>
      <c r="K34" s="63">
        <v>15.2</v>
      </c>
      <c r="L34" s="63">
        <v>17.5</v>
      </c>
      <c r="M34" s="64">
        <v>19</v>
      </c>
      <c r="N34" s="64">
        <v>21.9</v>
      </c>
      <c r="O34" s="65">
        <v>20</v>
      </c>
      <c r="P34" s="61">
        <v>25</v>
      </c>
      <c r="R34">
        <v>4</v>
      </c>
      <c r="U34" t="s">
        <v>211</v>
      </c>
      <c r="V34">
        <v>2</v>
      </c>
      <c r="X34" t="s">
        <v>33</v>
      </c>
    </row>
    <row r="35" spans="3:24" ht="13.5" customHeight="1">
      <c r="C35" t="s">
        <v>252</v>
      </c>
      <c r="D35" s="264"/>
      <c r="E35" s="147" t="s">
        <v>70</v>
      </c>
      <c r="F35" s="201">
        <v>15</v>
      </c>
      <c r="G35" s="61">
        <v>10</v>
      </c>
      <c r="H35" s="62">
        <v>34121</v>
      </c>
      <c r="I35" s="63">
        <v>6</v>
      </c>
      <c r="J35" s="63">
        <v>5.8</v>
      </c>
      <c r="K35" s="63">
        <v>42.1</v>
      </c>
      <c r="L35" s="63">
        <v>47.5</v>
      </c>
      <c r="M35" s="64">
        <v>52.6</v>
      </c>
      <c r="N35" s="64">
        <v>59.3</v>
      </c>
      <c r="O35" s="65">
        <v>60</v>
      </c>
      <c r="P35" s="61">
        <v>60</v>
      </c>
      <c r="R35">
        <v>4</v>
      </c>
      <c r="U35" t="s">
        <v>212</v>
      </c>
      <c r="V35">
        <v>1</v>
      </c>
      <c r="X35" t="s">
        <v>33</v>
      </c>
    </row>
    <row r="36" spans="3:24">
      <c r="C36" t="s">
        <v>253</v>
      </c>
      <c r="D36" s="264"/>
      <c r="E36" s="147" t="s">
        <v>71</v>
      </c>
      <c r="F36" s="202">
        <v>15</v>
      </c>
      <c r="G36" s="61">
        <v>5</v>
      </c>
      <c r="H36" s="62">
        <v>17061</v>
      </c>
      <c r="I36" s="63">
        <v>0</v>
      </c>
      <c r="J36" s="63">
        <v>0</v>
      </c>
      <c r="K36" s="63">
        <v>18.100000000000001</v>
      </c>
      <c r="L36" s="63">
        <v>20.8</v>
      </c>
      <c r="M36" s="64">
        <v>22.6</v>
      </c>
      <c r="N36" s="64">
        <v>26</v>
      </c>
      <c r="O36" s="65">
        <v>25</v>
      </c>
      <c r="P36" s="61">
        <v>30</v>
      </c>
      <c r="R36">
        <v>4</v>
      </c>
      <c r="U36" t="s">
        <v>212</v>
      </c>
      <c r="V36">
        <v>2</v>
      </c>
      <c r="X36" t="s">
        <v>33</v>
      </c>
    </row>
    <row r="37" spans="3:24">
      <c r="C37" t="s">
        <v>254</v>
      </c>
      <c r="D37" s="264"/>
      <c r="E37" s="147" t="s">
        <v>70</v>
      </c>
      <c r="F37" s="202">
        <v>20</v>
      </c>
      <c r="G37" s="61">
        <v>10</v>
      </c>
      <c r="H37" s="62">
        <v>34121</v>
      </c>
      <c r="I37" s="63">
        <v>6</v>
      </c>
      <c r="J37" s="63">
        <v>5.8</v>
      </c>
      <c r="K37" s="63">
        <v>42.1</v>
      </c>
      <c r="L37" s="63">
        <v>47.5</v>
      </c>
      <c r="M37" s="64">
        <v>52.6</v>
      </c>
      <c r="N37" s="64">
        <v>59.3</v>
      </c>
      <c r="O37" s="65">
        <v>60</v>
      </c>
      <c r="P37" s="61">
        <v>60</v>
      </c>
      <c r="R37">
        <v>4</v>
      </c>
      <c r="U37" t="s">
        <v>213</v>
      </c>
      <c r="V37">
        <v>1</v>
      </c>
      <c r="X37" t="s">
        <v>33</v>
      </c>
    </row>
    <row r="38" spans="3:24">
      <c r="C38" t="s">
        <v>255</v>
      </c>
      <c r="D38" s="265"/>
      <c r="E38" s="147" t="s">
        <v>71</v>
      </c>
      <c r="F38" s="202">
        <v>20</v>
      </c>
      <c r="G38" s="61">
        <v>10</v>
      </c>
      <c r="H38" s="62">
        <v>34121</v>
      </c>
      <c r="I38" s="63">
        <v>0</v>
      </c>
      <c r="J38" s="63">
        <v>0</v>
      </c>
      <c r="K38" s="63">
        <v>36.1</v>
      </c>
      <c r="L38" s="63">
        <v>41.7</v>
      </c>
      <c r="M38" s="64">
        <v>45.1</v>
      </c>
      <c r="N38" s="64">
        <v>52.1</v>
      </c>
      <c r="O38" s="65">
        <v>50</v>
      </c>
      <c r="P38" s="61">
        <v>60</v>
      </c>
      <c r="R38">
        <v>4</v>
      </c>
      <c r="U38" t="s">
        <v>213</v>
      </c>
      <c r="V38">
        <v>2</v>
      </c>
      <c r="X38" t="s">
        <v>33</v>
      </c>
    </row>
    <row r="39" spans="3:24" ht="13.5" customHeight="1">
      <c r="C39" t="s">
        <v>256</v>
      </c>
      <c r="D39" s="263">
        <v>5</v>
      </c>
      <c r="E39" s="147" t="s">
        <v>70</v>
      </c>
      <c r="F39" s="201">
        <v>0</v>
      </c>
      <c r="G39" s="61">
        <v>0</v>
      </c>
      <c r="H39" s="62">
        <v>0</v>
      </c>
      <c r="I39" s="63">
        <v>6</v>
      </c>
      <c r="J39" s="63">
        <v>5.8</v>
      </c>
      <c r="K39" s="63">
        <v>6</v>
      </c>
      <c r="L39" s="63">
        <v>5.8</v>
      </c>
      <c r="M39" s="64">
        <v>7.5</v>
      </c>
      <c r="N39" s="64">
        <v>7.3</v>
      </c>
      <c r="O39" s="65">
        <v>15</v>
      </c>
      <c r="P39" s="61">
        <v>15</v>
      </c>
      <c r="R39">
        <v>5</v>
      </c>
      <c r="U39" t="s">
        <v>55</v>
      </c>
      <c r="V39">
        <v>1</v>
      </c>
      <c r="X39" t="s">
        <v>33</v>
      </c>
    </row>
    <row r="40" spans="3:24" ht="13.5" customHeight="1">
      <c r="C40" t="s">
        <v>257</v>
      </c>
      <c r="D40" s="264"/>
      <c r="E40" s="147" t="s">
        <v>70</v>
      </c>
      <c r="F40" s="201">
        <v>5</v>
      </c>
      <c r="G40" s="61">
        <v>5</v>
      </c>
      <c r="H40" s="62">
        <v>17061</v>
      </c>
      <c r="I40" s="63">
        <v>6</v>
      </c>
      <c r="J40" s="63">
        <v>5.8</v>
      </c>
      <c r="K40" s="63">
        <v>24.1</v>
      </c>
      <c r="L40" s="63">
        <v>26.6</v>
      </c>
      <c r="M40" s="64">
        <v>30.1</v>
      </c>
      <c r="N40" s="64">
        <v>33.299999999999997</v>
      </c>
      <c r="O40" s="65">
        <v>35</v>
      </c>
      <c r="P40" s="61">
        <v>35</v>
      </c>
      <c r="R40">
        <v>5</v>
      </c>
      <c r="U40" t="s">
        <v>227</v>
      </c>
      <c r="V40">
        <v>1</v>
      </c>
      <c r="X40" t="s">
        <v>33</v>
      </c>
    </row>
    <row r="41" spans="3:24" ht="13.5" customHeight="1">
      <c r="C41" t="s">
        <v>258</v>
      </c>
      <c r="D41" s="264"/>
      <c r="E41" s="147" t="s">
        <v>70</v>
      </c>
      <c r="F41" s="202">
        <v>7.5</v>
      </c>
      <c r="G41" s="61">
        <v>7.5</v>
      </c>
      <c r="H41" s="62">
        <v>25591</v>
      </c>
      <c r="I41" s="63">
        <v>6</v>
      </c>
      <c r="J41" s="63">
        <v>5.8</v>
      </c>
      <c r="K41" s="63">
        <v>33.1</v>
      </c>
      <c r="L41" s="63">
        <v>37.1</v>
      </c>
      <c r="M41" s="64">
        <v>41.4</v>
      </c>
      <c r="N41" s="64">
        <v>46.3</v>
      </c>
      <c r="O41" s="65">
        <v>45</v>
      </c>
      <c r="P41" s="61" t="s">
        <v>221</v>
      </c>
      <c r="R41">
        <v>5</v>
      </c>
      <c r="U41" t="s">
        <v>79</v>
      </c>
      <c r="V41">
        <v>1</v>
      </c>
      <c r="X41" t="s">
        <v>33</v>
      </c>
    </row>
    <row r="42" spans="3:24" ht="13.5" customHeight="1">
      <c r="C42" t="s">
        <v>259</v>
      </c>
      <c r="D42" s="264"/>
      <c r="E42" s="147" t="s">
        <v>70</v>
      </c>
      <c r="F42" s="202">
        <v>10</v>
      </c>
      <c r="G42" s="61">
        <v>10</v>
      </c>
      <c r="H42" s="62">
        <v>34121</v>
      </c>
      <c r="I42" s="63">
        <v>6</v>
      </c>
      <c r="J42" s="63">
        <v>5.8</v>
      </c>
      <c r="K42" s="63">
        <v>42.1</v>
      </c>
      <c r="L42" s="63">
        <v>47.5</v>
      </c>
      <c r="M42" s="64">
        <v>52.6</v>
      </c>
      <c r="N42" s="64">
        <v>59.3</v>
      </c>
      <c r="O42" s="65">
        <v>60</v>
      </c>
      <c r="P42" s="61">
        <v>60</v>
      </c>
      <c r="R42">
        <v>5</v>
      </c>
      <c r="U42" t="s">
        <v>210</v>
      </c>
      <c r="V42">
        <v>1</v>
      </c>
      <c r="X42" t="s">
        <v>33</v>
      </c>
    </row>
    <row r="43" spans="3:24" ht="13.5" customHeight="1">
      <c r="C43" t="s">
        <v>260</v>
      </c>
      <c r="D43" s="264"/>
      <c r="E43" s="147" t="s">
        <v>70</v>
      </c>
      <c r="F43" s="202">
        <v>12.5</v>
      </c>
      <c r="G43" s="61">
        <v>8.3000000000000007</v>
      </c>
      <c r="H43" s="62">
        <v>28321</v>
      </c>
      <c r="I43" s="63">
        <v>6</v>
      </c>
      <c r="J43" s="63">
        <v>5.8</v>
      </c>
      <c r="K43" s="63">
        <v>36</v>
      </c>
      <c r="L43" s="63">
        <v>40.4</v>
      </c>
      <c r="M43" s="64">
        <v>45</v>
      </c>
      <c r="N43" s="64">
        <v>50.5</v>
      </c>
      <c r="O43" s="65">
        <v>45</v>
      </c>
      <c r="P43" s="61" t="s">
        <v>222</v>
      </c>
      <c r="R43">
        <v>5</v>
      </c>
      <c r="U43" t="s">
        <v>211</v>
      </c>
      <c r="V43">
        <v>1</v>
      </c>
      <c r="X43" t="s">
        <v>33</v>
      </c>
    </row>
    <row r="44" spans="3:24" ht="13.5" customHeight="1">
      <c r="C44" t="s">
        <v>261</v>
      </c>
      <c r="D44" s="264"/>
      <c r="E44" s="147" t="s">
        <v>71</v>
      </c>
      <c r="F44" s="201">
        <v>12.5</v>
      </c>
      <c r="G44" s="61">
        <v>4.2</v>
      </c>
      <c r="H44" s="62">
        <v>14331</v>
      </c>
      <c r="I44" s="63">
        <v>0</v>
      </c>
      <c r="J44" s="63">
        <v>0</v>
      </c>
      <c r="K44" s="63">
        <v>15.2</v>
      </c>
      <c r="L44" s="63">
        <v>17.5</v>
      </c>
      <c r="M44" s="64">
        <v>19</v>
      </c>
      <c r="N44" s="64">
        <v>21.9</v>
      </c>
      <c r="O44" s="65">
        <v>20</v>
      </c>
      <c r="P44" s="61">
        <v>25</v>
      </c>
      <c r="R44">
        <v>5</v>
      </c>
      <c r="U44" t="s">
        <v>211</v>
      </c>
      <c r="V44">
        <v>2</v>
      </c>
      <c r="X44" t="s">
        <v>33</v>
      </c>
    </row>
    <row r="45" spans="3:24" ht="13.5" customHeight="1">
      <c r="C45" t="s">
        <v>262</v>
      </c>
      <c r="D45" s="264"/>
      <c r="E45" s="147" t="s">
        <v>70</v>
      </c>
      <c r="F45" s="201">
        <v>15</v>
      </c>
      <c r="G45" s="61">
        <v>10</v>
      </c>
      <c r="H45" s="62">
        <v>34121</v>
      </c>
      <c r="I45" s="63">
        <v>6</v>
      </c>
      <c r="J45" s="63">
        <v>5.8</v>
      </c>
      <c r="K45" s="63">
        <v>42.1</v>
      </c>
      <c r="L45" s="63">
        <v>47.5</v>
      </c>
      <c r="M45" s="64">
        <v>52.6</v>
      </c>
      <c r="N45" s="64">
        <v>59.3</v>
      </c>
      <c r="O45" s="65">
        <v>60</v>
      </c>
      <c r="P45" s="61">
        <v>60</v>
      </c>
      <c r="R45">
        <v>5</v>
      </c>
      <c r="U45" t="s">
        <v>212</v>
      </c>
      <c r="V45">
        <v>1</v>
      </c>
      <c r="X45" t="s">
        <v>33</v>
      </c>
    </row>
    <row r="46" spans="3:24">
      <c r="C46" t="s">
        <v>263</v>
      </c>
      <c r="D46" s="264"/>
      <c r="E46" s="147" t="s">
        <v>71</v>
      </c>
      <c r="F46" s="202">
        <v>15</v>
      </c>
      <c r="G46" s="61">
        <v>5</v>
      </c>
      <c r="H46" s="62">
        <v>17061</v>
      </c>
      <c r="I46" s="63">
        <v>0</v>
      </c>
      <c r="J46" s="63">
        <v>0</v>
      </c>
      <c r="K46" s="63">
        <v>18.100000000000001</v>
      </c>
      <c r="L46" s="63">
        <v>20.8</v>
      </c>
      <c r="M46" s="64">
        <v>22.6</v>
      </c>
      <c r="N46" s="64">
        <v>26</v>
      </c>
      <c r="O46" s="65">
        <v>25</v>
      </c>
      <c r="P46" s="61">
        <v>30</v>
      </c>
      <c r="R46">
        <v>5</v>
      </c>
      <c r="U46" t="s">
        <v>212</v>
      </c>
      <c r="V46">
        <v>2</v>
      </c>
      <c r="X46" t="s">
        <v>33</v>
      </c>
    </row>
    <row r="47" spans="3:24">
      <c r="C47" t="s">
        <v>264</v>
      </c>
      <c r="D47" s="264"/>
      <c r="E47" s="147" t="s">
        <v>70</v>
      </c>
      <c r="F47" s="202">
        <v>20</v>
      </c>
      <c r="G47" s="61">
        <v>10</v>
      </c>
      <c r="H47" s="62">
        <v>34121</v>
      </c>
      <c r="I47" s="63">
        <v>6</v>
      </c>
      <c r="J47" s="63">
        <v>5.8</v>
      </c>
      <c r="K47" s="63">
        <v>42.1</v>
      </c>
      <c r="L47" s="63">
        <v>47.5</v>
      </c>
      <c r="M47" s="64">
        <v>52.6</v>
      </c>
      <c r="N47" s="64">
        <v>59.3</v>
      </c>
      <c r="O47" s="65">
        <v>60</v>
      </c>
      <c r="P47" s="61">
        <v>60</v>
      </c>
      <c r="R47">
        <v>5</v>
      </c>
      <c r="U47" t="s">
        <v>213</v>
      </c>
      <c r="V47">
        <v>1</v>
      </c>
      <c r="X47" t="s">
        <v>33</v>
      </c>
    </row>
    <row r="48" spans="3:24">
      <c r="C48" t="s">
        <v>265</v>
      </c>
      <c r="D48" s="265"/>
      <c r="E48" s="147" t="s">
        <v>71</v>
      </c>
      <c r="F48" s="202">
        <v>20</v>
      </c>
      <c r="G48" s="61">
        <v>10</v>
      </c>
      <c r="H48" s="62">
        <v>34121</v>
      </c>
      <c r="I48" s="63">
        <v>0</v>
      </c>
      <c r="J48" s="63">
        <v>0</v>
      </c>
      <c r="K48" s="63">
        <v>36.1</v>
      </c>
      <c r="L48" s="63">
        <v>41.7</v>
      </c>
      <c r="M48" s="64">
        <v>45.1</v>
      </c>
      <c r="N48" s="64">
        <v>52.1</v>
      </c>
      <c r="O48" s="65">
        <v>50</v>
      </c>
      <c r="P48" s="61">
        <v>60</v>
      </c>
      <c r="R48">
        <v>5</v>
      </c>
      <c r="U48" t="s">
        <v>213</v>
      </c>
      <c r="V48">
        <v>2</v>
      </c>
      <c r="X48" t="s">
        <v>33</v>
      </c>
    </row>
    <row r="50" spans="4:4">
      <c r="D50" s="66" t="s">
        <v>224</v>
      </c>
    </row>
    <row r="51" spans="4:4">
      <c r="D51" s="66" t="s">
        <v>225</v>
      </c>
    </row>
    <row r="52" spans="4:4">
      <c r="D52" s="66" t="s">
        <v>226</v>
      </c>
    </row>
  </sheetData>
  <sheetProtection algorithmName="SHA-512" hashValue="+X2Gvpoa9D29M8NeSHc8Yo2Zb/TXin78DnDBkilxKfpj4FRX2+Ye6tW6VLC9rUdMSkeHeHcM5v1ijZxEuE5nsA==" saltValue="/znKaH4ka7m8JYnA5mdycA==" spinCount="100000" sheet="1" objects="1" scenarios="1"/>
  <mergeCells count="40">
    <mergeCell ref="D21:D28"/>
    <mergeCell ref="D17:D20"/>
    <mergeCell ref="I4:J5"/>
    <mergeCell ref="K4:L5"/>
    <mergeCell ref="M4:N5"/>
    <mergeCell ref="I6:J6"/>
    <mergeCell ref="K6:L6"/>
    <mergeCell ref="M6:N6"/>
    <mergeCell ref="O9:P9"/>
    <mergeCell ref="D39:D48"/>
    <mergeCell ref="D29:D38"/>
    <mergeCell ref="O4:P5"/>
    <mergeCell ref="D14:D16"/>
    <mergeCell ref="E14:E16"/>
    <mergeCell ref="F14:F16"/>
    <mergeCell ref="G14:H14"/>
    <mergeCell ref="K14:L15"/>
    <mergeCell ref="M14:N15"/>
    <mergeCell ref="O14:P15"/>
    <mergeCell ref="D4:D6"/>
    <mergeCell ref="I14:J15"/>
    <mergeCell ref="E4:E6"/>
    <mergeCell ref="F4:F6"/>
    <mergeCell ref="G4:H4"/>
    <mergeCell ref="O10:P10"/>
    <mergeCell ref="O6:P6"/>
    <mergeCell ref="I7:J7"/>
    <mergeCell ref="I8:J8"/>
    <mergeCell ref="I9:J9"/>
    <mergeCell ref="I10:J10"/>
    <mergeCell ref="K7:L7"/>
    <mergeCell ref="K8:L8"/>
    <mergeCell ref="K9:L9"/>
    <mergeCell ref="K10:L10"/>
    <mergeCell ref="M7:N7"/>
    <mergeCell ref="M8:N8"/>
    <mergeCell ref="M9:N9"/>
    <mergeCell ref="M10:N10"/>
    <mergeCell ref="O7:P7"/>
    <mergeCell ref="O8:P8"/>
  </mergeCells>
  <phoneticPr fontId="3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vt:lpstr>
      <vt:lpstr>Back</vt:lpstr>
      <vt:lpstr>Nomenclature</vt:lpstr>
      <vt:lpstr>Data</vt:lpstr>
      <vt:lpstr>Airflow</vt:lpstr>
      <vt:lpstr>Electrial data</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Talsania, Dipen</cp:lastModifiedBy>
  <cp:lastPrinted>2025-04-24T17:39:19Z</cp:lastPrinted>
  <dcterms:created xsi:type="dcterms:W3CDTF">2018-06-13T16:44:01Z</dcterms:created>
  <dcterms:modified xsi:type="dcterms:W3CDTF">2025-05-01T16:22:11Z</dcterms:modified>
</cp:coreProperties>
</file>